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defaultThemeVersion="124226"/>
  <mc:AlternateContent xmlns:mc="http://schemas.openxmlformats.org/markup-compatibility/2006">
    <mc:Choice Requires="x15">
      <x15ac:absPath xmlns:x15ac="http://schemas.microsoft.com/office/spreadsheetml/2010/11/ac" url="Y:\3_TECH\01_GreenStar\05_Interiors\01 Tools and Calculators\07 Calculator &amp; Guides\Calculators NZv1.0\"/>
    </mc:Choice>
  </mc:AlternateContent>
  <xr:revisionPtr revIDLastSave="0" documentId="13_ncr:1_{19A7BA87-32C1-4159-8FEE-1C538890F9FC}" xr6:coauthVersionLast="46" xr6:coauthVersionMax="46" xr10:uidLastSave="{00000000-0000-0000-0000-000000000000}"/>
  <bookViews>
    <workbookView xWindow="28680" yWindow="-120" windowWidth="29040" windowHeight="15840" activeTab="5" xr2:uid="{3B66A783-7F80-47A5-B946-B961A6F2C914}"/>
  </bookViews>
  <sheets>
    <sheet name="Change Log" sheetId="2" r:id="rId1"/>
    <sheet name="Disclaimer" sheetId="1" r:id="rId2"/>
    <sheet name="16A Prescriptive Commercial" sheetId="3" r:id="rId3"/>
    <sheet name="16B Prescriptive Residential" sheetId="4" state="hidden" r:id="rId4"/>
    <sheet name="16C NABERS Energy" sheetId="5" state="hidden" r:id="rId5"/>
    <sheet name="16B Reference Fitout" sheetId="6" r:id="rId6"/>
    <sheet name="Multiple Path Calcs" sheetId="7" state="hidden" r:id="rId7"/>
    <sheet name="Synthetic GHG" sheetId="8" state="hidden" r:id="rId8"/>
    <sheet name="Reference" sheetId="9" r:id="rId9"/>
    <sheet name="Beca List of changes" sheetId="10" r:id="rId10"/>
  </sheets>
  <externalReferences>
    <externalReference r:id="rId11"/>
  </externalReferences>
  <definedNames>
    <definedName name="ACStarRating">Reference!$Y$3:$Y$19</definedName>
    <definedName name="BldgCapacity" localSheetId="4">[1]Reference!$Z$23:$Z$24</definedName>
    <definedName name="BldgCapacity">Reference!$Z$23:$Z$24</definedName>
    <definedName name="ComfortControl">Reference!$Z$6:$Z$8</definedName>
    <definedName name="ContractTerm" localSheetId="4">[1]Reference!$Z$13:$Z$22</definedName>
    <definedName name="ContractTerm">Reference!$Z$13:$Z$22</definedName>
    <definedName name="DHWFuel">Reference!$Z$9:$Z$12</definedName>
    <definedName name="Fuels" localSheetId="4">'[1]16D Reference Fitout'!$B$15:$B$25</definedName>
    <definedName name="Fuels">'16B Reference Fitout'!$B$18:$B$28</definedName>
    <definedName name="GeoGHGFactor" localSheetId="4">[1]Reference!$AB$3:$AD$10</definedName>
    <definedName name="GeoGHGFactor">Reference!$AB$3:$AD$11</definedName>
    <definedName name="GeoLocation" localSheetId="4">[1]Reference!$AB$3:$AB$10</definedName>
    <definedName name="GeoLocation">Reference!$AB$3:$AB$11</definedName>
    <definedName name="NatHERSStar">Reference!$X$3:$X$22</definedName>
    <definedName name="NatHERSZone">Reference!$B$4:$B$72</definedName>
    <definedName name="Option" localSheetId="4">[1]Reference!$Z$3:$Z$4</definedName>
    <definedName name="Option">Reference!$Z$3:$Z$4</definedName>
    <definedName name="OptionNA">Reference!$Z$3:$Z$5</definedName>
    <definedName name="OptNA">Reference!$Z$5</definedName>
    <definedName name="_xlnm.Print_Area" localSheetId="4">'16C NABERS Energy'!$B$9:$L$46</definedName>
    <definedName name="SynthGHGRate" localSheetId="4">[1]Reference!$AE$3:$AF$6</definedName>
    <definedName name="SynthGHGRate">Reference!$AE$3:$AF$6</definedName>
    <definedName name="SynthGHGSource" localSheetId="4">[1]Reference!$AE$3:$AE$6</definedName>
    <definedName name="SynthGHGSource">Reference!$AE$3:$AE$6</definedName>
    <definedName name="Z_63FDFA20_8B8F_4388_AE98_CEF9EC3DA1CE_.wvu.PrintArea" localSheetId="4" hidden="1">'16C NABERS Energy'!$B$9:$L$46</definedName>
    <definedName name="Z_E57EC305_7DFD_421A_BB34_3221A8A7CE7D_.wvu.Cols" localSheetId="2" hidden="1">'16A Prescriptive Commercial'!$E:$O</definedName>
    <definedName name="Z_E57EC305_7DFD_421A_BB34_3221A8A7CE7D_.wvu.Cols" localSheetId="3" hidden="1">'16B Prescriptive Residential'!$E:$N</definedName>
    <definedName name="Z_E57EC305_7DFD_421A_BB34_3221A8A7CE7D_.wvu.Cols" localSheetId="4" hidden="1">'16C NABERS Energy'!$E:$L</definedName>
    <definedName name="Z_E57EC305_7DFD_421A_BB34_3221A8A7CE7D_.wvu.Cols" localSheetId="6" hidden="1">'Multiple Path Calcs'!$Q:$T</definedName>
    <definedName name="Z_E57EC305_7DFD_421A_BB34_3221A8A7CE7D_.wvu.PrintArea" localSheetId="4" hidden="1">'16C NABERS Energy'!$B$9:$L$46</definedName>
    <definedName name="Z_E57EC305_7DFD_421A_BB34_3221A8A7CE7D_.wvu.Rows" localSheetId="0" hidden="1">'Change Log'!$33:$135</definedName>
  </definedNames>
  <calcPr calcId="191029"/>
  <customWorkbookViews>
    <customWorkbookView name="Ethan Duff - Personal View" guid="{E57EC305-7DFD-421A-BB34-3221A8A7CE7D}" mergeInterval="0" personalView="1" maximized="1" xWindow="-8" yWindow="-8" windowWidth="1936" windowHeight="1066" activeSheetId="10"/>
    <customWorkbookView name="Simon Ng - Personal View" guid="{63FDFA20-8B8F-4388-AE98-CEF9EC3DA1CE}" mergeInterval="0" personalView="1" maximized="1" xWindow="-4" yWindow="-4" windowWidth="1928" windowHeight="1164" tabRatio="7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3" l="1"/>
  <c r="H51" i="6"/>
  <c r="I51" i="6"/>
  <c r="E51" i="6"/>
  <c r="I43" i="3" l="1"/>
  <c r="K42" i="5" l="1"/>
  <c r="C46" i="5" s="1"/>
  <c r="C23" i="5" l="1"/>
  <c r="B24" i="5" s="1"/>
  <c r="J26" i="3"/>
  <c r="J25" i="3"/>
  <c r="D36" i="5" l="1"/>
  <c r="D32" i="5"/>
  <c r="C32" i="5"/>
  <c r="D31" i="5"/>
  <c r="C31" i="5"/>
  <c r="D30" i="5"/>
  <c r="C30" i="5"/>
  <c r="D29" i="5"/>
  <c r="C29" i="5"/>
  <c r="C28" i="5"/>
  <c r="D44" i="4" l="1"/>
  <c r="F36" i="5" l="1"/>
  <c r="D44" i="5"/>
  <c r="D16" i="7" s="1"/>
  <c r="I22" i="4"/>
  <c r="F40" i="5" l="1"/>
  <c r="F43" i="5" s="1"/>
  <c r="D43" i="5" s="1"/>
  <c r="E16" i="7" s="1"/>
  <c r="K41" i="5"/>
  <c r="Q16" i="7"/>
  <c r="K40" i="5"/>
  <c r="K39" i="5"/>
  <c r="E21" i="3"/>
  <c r="D45" i="3" s="1"/>
  <c r="I31" i="3" l="1"/>
  <c r="I32" i="3"/>
  <c r="I30" i="3"/>
  <c r="I25" i="3"/>
  <c r="I23" i="3"/>
  <c r="E30" i="3" l="1"/>
  <c r="G61" i="6" l="1"/>
  <c r="I39" i="6" l="1"/>
  <c r="I40" i="6"/>
  <c r="I41" i="6"/>
  <c r="I38" i="6"/>
  <c r="I42" i="6"/>
  <c r="I43" i="6"/>
  <c r="I44" i="6"/>
  <c r="I45" i="6"/>
  <c r="H40" i="6"/>
  <c r="D17" i="7" l="1"/>
  <c r="D15" i="7"/>
  <c r="D14" i="7"/>
  <c r="E22" i="4"/>
  <c r="I36" i="4"/>
  <c r="E34" i="4"/>
  <c r="D42" i="4" s="1"/>
  <c r="I26" i="4"/>
  <c r="I28" i="4"/>
  <c r="E20" i="4"/>
  <c r="D39" i="4" s="1"/>
  <c r="B43" i="4"/>
  <c r="I37" i="4"/>
  <c r="E32" i="4"/>
  <c r="D41" i="4" s="1"/>
  <c r="E18" i="4"/>
  <c r="E37" i="4" l="1"/>
  <c r="E25" i="4"/>
  <c r="D40" i="4" s="1"/>
  <c r="H44" i="4" s="1"/>
  <c r="K26" i="3"/>
  <c r="D28" i="3" s="1"/>
  <c r="B50" i="3"/>
  <c r="E23" i="3"/>
  <c r="I42" i="3"/>
  <c r="E36" i="3"/>
  <c r="E37" i="3"/>
  <c r="E38" i="3"/>
  <c r="E40" i="3"/>
  <c r="D49" i="3" s="1"/>
  <c r="E34" i="3"/>
  <c r="D47" i="3" s="1"/>
  <c r="I26" i="3"/>
  <c r="E20" i="3"/>
  <c r="E19" i="3"/>
  <c r="M37" i="4" l="1"/>
  <c r="M36" i="4"/>
  <c r="D43" i="4" s="1"/>
  <c r="I41" i="4"/>
  <c r="I44" i="4" s="1"/>
  <c r="D47" i="4" s="1"/>
  <c r="I40" i="4"/>
  <c r="I42" i="4"/>
  <c r="Q15" i="7"/>
  <c r="E25" i="3"/>
  <c r="D46" i="3" s="1"/>
  <c r="D48" i="3"/>
  <c r="E43" i="3"/>
  <c r="E15" i="7"/>
  <c r="H50" i="3" l="1"/>
  <c r="I46" i="3" s="1"/>
  <c r="Q14" i="7" l="1"/>
  <c r="I47" i="3"/>
  <c r="I48" i="3"/>
  <c r="I50" i="3" s="1"/>
  <c r="D55" i="3" s="1"/>
  <c r="M43" i="3"/>
  <c r="M42" i="3"/>
  <c r="C18" i="7"/>
  <c r="E47" i="6"/>
  <c r="C18" i="6"/>
  <c r="E43" i="6" s="1"/>
  <c r="E38" i="6"/>
  <c r="E39" i="6"/>
  <c r="E41" i="6"/>
  <c r="H73" i="6"/>
  <c r="H74" i="6"/>
  <c r="H75" i="6"/>
  <c r="H77" i="6"/>
  <c r="H78" i="6"/>
  <c r="H79" i="6"/>
  <c r="H80" i="6"/>
  <c r="H81" i="6"/>
  <c r="D61" i="6"/>
  <c r="G72" i="6"/>
  <c r="G73" i="6"/>
  <c r="G74" i="6"/>
  <c r="G75" i="6"/>
  <c r="G76" i="6"/>
  <c r="G77" i="6"/>
  <c r="G78" i="6"/>
  <c r="G79" i="6"/>
  <c r="G80" i="6"/>
  <c r="G81" i="6"/>
  <c r="G82" i="6"/>
  <c r="H47" i="6"/>
  <c r="H48" i="6"/>
  <c r="H49" i="6"/>
  <c r="H50" i="6"/>
  <c r="H52" i="6"/>
  <c r="H53" i="6"/>
  <c r="H38" i="6"/>
  <c r="H82" i="6" s="1"/>
  <c r="H39" i="6"/>
  <c r="H41" i="6"/>
  <c r="H42" i="6"/>
  <c r="H43" i="6"/>
  <c r="H44" i="6"/>
  <c r="H45" i="6"/>
  <c r="D81" i="6"/>
  <c r="E81" i="6"/>
  <c r="I55" i="6"/>
  <c r="H54" i="6"/>
  <c r="H55" i="6"/>
  <c r="H56" i="6"/>
  <c r="H57" i="6"/>
  <c r="H58" i="6"/>
  <c r="H59" i="6"/>
  <c r="H60" i="6"/>
  <c r="E55" i="6"/>
  <c r="E56" i="6"/>
  <c r="E57" i="6"/>
  <c r="E58" i="6"/>
  <c r="E59" i="6"/>
  <c r="E60" i="6"/>
  <c r="I54" i="6"/>
  <c r="C24" i="6"/>
  <c r="C23" i="6"/>
  <c r="C22" i="6"/>
  <c r="C21" i="6"/>
  <c r="C20" i="6"/>
  <c r="AD10" i="9"/>
  <c r="AD9" i="9"/>
  <c r="AD8" i="9"/>
  <c r="AD7" i="9"/>
  <c r="AD6" i="9"/>
  <c r="AD5" i="9"/>
  <c r="AD4" i="9"/>
  <c r="C19" i="6" s="1"/>
  <c r="P34" i="6" s="1"/>
  <c r="AD3" i="9"/>
  <c r="E5" i="8"/>
  <c r="F5" i="8" s="1"/>
  <c r="E6" i="8"/>
  <c r="F6" i="8" s="1"/>
  <c r="E7" i="8"/>
  <c r="F7" i="8" s="1"/>
  <c r="E8" i="8"/>
  <c r="F8" i="8" s="1"/>
  <c r="E9" i="8"/>
  <c r="F9" i="8" s="1"/>
  <c r="E10" i="8"/>
  <c r="F10" i="8" s="1"/>
  <c r="E11" i="8"/>
  <c r="F11" i="8" s="1"/>
  <c r="E12" i="8"/>
  <c r="F12" i="8" s="1"/>
  <c r="E13" i="8"/>
  <c r="F13" i="8" s="1"/>
  <c r="E14" i="8"/>
  <c r="F14" i="8" s="1"/>
  <c r="E15" i="8"/>
  <c r="F15" i="8" s="1"/>
  <c r="E16" i="8"/>
  <c r="F16" i="8" s="1"/>
  <c r="E17" i="8"/>
  <c r="F17" i="8" s="1"/>
  <c r="E18" i="8"/>
  <c r="F18" i="8" s="1"/>
  <c r="E19" i="8"/>
  <c r="F19" i="8" s="1"/>
  <c r="E20" i="8"/>
  <c r="F20" i="8" s="1"/>
  <c r="E21" i="8"/>
  <c r="F21" i="8" s="1"/>
  <c r="E22" i="8"/>
  <c r="F22" i="8" s="1"/>
  <c r="E23" i="8"/>
  <c r="F23" i="8" s="1"/>
  <c r="E24" i="8"/>
  <c r="F24" i="8" s="1"/>
  <c r="E25" i="8"/>
  <c r="F25" i="8" s="1"/>
  <c r="E26" i="8"/>
  <c r="F26" i="8" s="1"/>
  <c r="E27" i="8"/>
  <c r="F27" i="8" s="1"/>
  <c r="E28" i="8"/>
  <c r="F28" i="8" s="1"/>
  <c r="E29" i="8"/>
  <c r="F29" i="8" s="1"/>
  <c r="E30" i="8"/>
  <c r="F30" i="8" s="1"/>
  <c r="E31" i="8"/>
  <c r="F31" i="8" s="1"/>
  <c r="E32" i="8"/>
  <c r="F32" i="8" s="1"/>
  <c r="E33" i="8"/>
  <c r="F33" i="8" s="1"/>
  <c r="E34" i="8"/>
  <c r="F34" i="8" s="1"/>
  <c r="E35" i="8"/>
  <c r="F35" i="8" s="1"/>
  <c r="E36" i="8"/>
  <c r="F36" i="8" s="1"/>
  <c r="E37" i="8"/>
  <c r="F37" i="8" s="1"/>
  <c r="E38" i="8"/>
  <c r="F38" i="8" s="1"/>
  <c r="E39" i="8"/>
  <c r="F39" i="8" s="1"/>
  <c r="E40" i="8"/>
  <c r="F40" i="8" s="1"/>
  <c r="E41" i="8"/>
  <c r="F41" i="8" s="1"/>
  <c r="E42" i="8"/>
  <c r="F42" i="8"/>
  <c r="E43" i="8"/>
  <c r="F43" i="8" s="1"/>
  <c r="E44" i="8"/>
  <c r="F44" i="8" s="1"/>
  <c r="E45" i="8"/>
  <c r="F45" i="8" s="1"/>
  <c r="E46" i="8"/>
  <c r="F46" i="8" s="1"/>
  <c r="E47" i="8"/>
  <c r="F47" i="8" s="1"/>
  <c r="E48" i="8"/>
  <c r="F48" i="8" s="1"/>
  <c r="E49" i="8"/>
  <c r="F49" i="8" s="1"/>
  <c r="E50" i="8"/>
  <c r="F50" i="8" s="1"/>
  <c r="E51" i="8"/>
  <c r="F51" i="8" s="1"/>
  <c r="E52" i="8"/>
  <c r="F52" i="8" s="1"/>
  <c r="E4" i="8"/>
  <c r="F4" i="8" s="1"/>
  <c r="I60" i="6"/>
  <c r="I59" i="6"/>
  <c r="I58" i="6"/>
  <c r="I57" i="6"/>
  <c r="I56" i="6"/>
  <c r="I53" i="6"/>
  <c r="I52" i="6"/>
  <c r="I50" i="6"/>
  <c r="I49" i="6"/>
  <c r="I48" i="6"/>
  <c r="I47" i="6"/>
  <c r="O96" i="6"/>
  <c r="G84" i="6"/>
  <c r="H70" i="6"/>
  <c r="E74" i="6"/>
  <c r="E76" i="6"/>
  <c r="E77" i="6"/>
  <c r="E78" i="6"/>
  <c r="E79" i="6"/>
  <c r="E80" i="6"/>
  <c r="E82" i="6"/>
  <c r="D73" i="6"/>
  <c r="D74" i="6"/>
  <c r="D75" i="6"/>
  <c r="D76" i="6"/>
  <c r="D77" i="6"/>
  <c r="D78" i="6"/>
  <c r="D79" i="6"/>
  <c r="D80" i="6"/>
  <c r="D82" i="6"/>
  <c r="D72" i="6"/>
  <c r="H67" i="6"/>
  <c r="E73" i="6"/>
  <c r="E75" i="6"/>
  <c r="P114" i="6"/>
  <c r="Q114" i="6" s="1"/>
  <c r="O113" i="6"/>
  <c r="D50" i="3" l="1"/>
  <c r="E14" i="7" s="1"/>
  <c r="R14" i="7" s="1"/>
  <c r="F15" i="7"/>
  <c r="R16" i="7"/>
  <c r="R15" i="7"/>
  <c r="D83" i="6"/>
  <c r="I72" i="6"/>
  <c r="G83" i="6"/>
  <c r="H61" i="6"/>
  <c r="N35" i="6"/>
  <c r="C28" i="6" s="1"/>
  <c r="P32" i="6"/>
  <c r="C25" i="6" s="1"/>
  <c r="E42" i="6"/>
  <c r="E54" i="6"/>
  <c r="H65" i="6"/>
  <c r="I75" i="6"/>
  <c r="I78" i="6"/>
  <c r="I74" i="6"/>
  <c r="E48" i="6"/>
  <c r="I77" i="6"/>
  <c r="H64" i="6"/>
  <c r="H76" i="6" s="1"/>
  <c r="I76" i="6"/>
  <c r="E45" i="6"/>
  <c r="P33" i="6"/>
  <c r="H68" i="6"/>
  <c r="H72" i="6" s="1"/>
  <c r="E44" i="6"/>
  <c r="E40" i="6"/>
  <c r="E49" i="6"/>
  <c r="E52" i="6"/>
  <c r="I73" i="6"/>
  <c r="E50" i="6"/>
  <c r="I81" i="6"/>
  <c r="C27" i="6"/>
  <c r="F53" i="8"/>
  <c r="E53" i="6"/>
  <c r="H83" i="6" l="1"/>
  <c r="C91" i="6" s="1"/>
  <c r="I79" i="6"/>
  <c r="F14" i="7"/>
  <c r="I82" i="6"/>
  <c r="E61" i="6"/>
  <c r="C89" i="6" s="1"/>
  <c r="C94" i="6" s="1"/>
  <c r="H84" i="6"/>
  <c r="E72" i="6"/>
  <c r="E83" i="6" s="1"/>
  <c r="I80" i="6"/>
  <c r="C26" i="6"/>
  <c r="F16" i="7"/>
  <c r="I83" i="6" l="1"/>
  <c r="C90" i="6" s="1"/>
  <c r="C95" i="6" s="1"/>
  <c r="C96" i="6" s="1"/>
  <c r="O100" i="6" s="1"/>
  <c r="C93" i="6"/>
  <c r="C101" i="6"/>
  <c r="C102" i="6" s="1"/>
  <c r="Q17" i="7" l="1"/>
  <c r="P106" i="6"/>
  <c r="P107" i="6"/>
  <c r="P108" i="6" s="1"/>
  <c r="C104" i="6" s="1"/>
  <c r="P105" i="6"/>
  <c r="C106" i="6"/>
  <c r="E17" i="7" s="1"/>
  <c r="F17" i="7" l="1"/>
  <c r="F18" i="7" s="1"/>
  <c r="R17" i="7"/>
  <c r="R18" i="7" s="1"/>
  <c r="T16" i="7" l="1"/>
  <c r="T17" i="7" s="1"/>
  <c r="F21" i="7" s="1"/>
  <c r="T15" i="7"/>
  <c r="T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Simon Ng</author>
  </authors>
  <commentList>
    <comment ref="H50" authorId="0" shapeId="0" xr:uid="{00000000-0006-0000-0200-000001000000}">
      <text>
        <r>
          <rPr>
            <b/>
            <sz val="8"/>
            <color indexed="81"/>
            <rFont val="Tahoma"/>
            <family val="2"/>
          </rPr>
          <t>Simon Ng:</t>
        </r>
        <r>
          <rPr>
            <sz val="8"/>
            <color indexed="81"/>
            <rFont val="Tahoma"/>
            <family val="2"/>
          </rPr>
          <t xml:space="preserve">
Total available without GP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Simon Ng</author>
  </authors>
  <commentList>
    <comment ref="I13" authorId="0" shapeId="0" xr:uid="{00000000-0006-0000-0300-000001000000}">
      <text>
        <r>
          <rPr>
            <b/>
            <sz val="8"/>
            <color indexed="81"/>
            <rFont val="Tahoma"/>
            <family val="2"/>
          </rPr>
          <t>Simon Ng:</t>
        </r>
        <r>
          <rPr>
            <sz val="8"/>
            <color indexed="81"/>
            <rFont val="Tahoma"/>
            <family val="2"/>
          </rPr>
          <t xml:space="preserve">
Greenpower calculation for v1 &amp; v1.1. not D36 was also changed
</t>
        </r>
      </text>
    </comment>
    <comment ref="H35" authorId="0" shapeId="0" xr:uid="{00000000-0006-0000-0300-000002000000}">
      <text>
        <r>
          <rPr>
            <b/>
            <sz val="8"/>
            <color indexed="81"/>
            <rFont val="Tahoma"/>
            <family val="2"/>
          </rPr>
          <t>Simon Ng:</t>
        </r>
        <r>
          <rPr>
            <sz val="8"/>
            <color indexed="81"/>
            <rFont val="Tahoma"/>
            <family val="2"/>
          </rPr>
          <t xml:space="preserve">
Calculations used for v1 &amp; v1.1
</t>
        </r>
      </text>
    </comment>
    <comment ref="H44" authorId="0" shapeId="0" xr:uid="{00000000-0006-0000-0300-000003000000}">
      <text>
        <r>
          <rPr>
            <b/>
            <sz val="8"/>
            <color indexed="81"/>
            <rFont val="Tahoma"/>
            <family val="2"/>
          </rPr>
          <t>Simon Ng:</t>
        </r>
        <r>
          <rPr>
            <sz val="8"/>
            <color indexed="81"/>
            <rFont val="Tahoma"/>
            <family val="2"/>
          </rPr>
          <t xml:space="preserve">
Total available without GP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D27" authorId="0" shapeId="0" xr:uid="{00000000-0006-0000-0400-000001000000}">
      <text>
        <r>
          <rPr>
            <sz val="8"/>
            <color indexed="81"/>
            <rFont val="Tahoma"/>
            <family val="2"/>
          </rPr>
          <t>This is the NABERS Energy star rating being committed to by the project.</t>
        </r>
      </text>
    </comment>
    <comment ref="C34" authorId="0" shapeId="0" xr:uid="{00000000-0006-0000-0400-000002000000}">
      <text>
        <r>
          <rPr>
            <sz val="8"/>
            <color indexed="81"/>
            <rFont val="Tahoma"/>
            <family val="2"/>
          </rPr>
          <t>This is the maximum acceptable kgCO2 value for achieving a 4.5 star NABERS Energy rating with the same paramaters as the project being rated. This value is determined using the NABERS Energy Reverse Calculator.</t>
        </r>
      </text>
    </comment>
    <comment ref="D34" authorId="0" shapeId="0" xr:uid="{00000000-0006-0000-0400-000003000000}">
      <text>
        <r>
          <rPr>
            <sz val="8"/>
            <color indexed="81"/>
            <rFont val="Tahoma"/>
            <family val="2"/>
          </rPr>
          <t>This is the kgCO2 value being committed to. This will either be:
   - kgCO2 value determined by the NABERS Independent Design Review Report; or
   - The maximum acceptable kgCO2 value for achieving the NABERS Energy star rating being committed to. This value is determined using the NABERS Energy Reverse Calculator.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richardj</author>
    <author>Jorge Chapa</author>
  </authors>
  <commentList>
    <comment ref="J35" authorId="0" shapeId="0" xr:uid="{00000000-0006-0000-0500-000001000000}">
      <text>
        <r>
          <rPr>
            <sz val="9"/>
            <color indexed="81"/>
            <rFont val="Tahoma"/>
            <family val="2"/>
          </rPr>
          <t>Project teams must provide comment on the causes of the improvements in the design building where the improvement exceeds 5%.</t>
        </r>
      </text>
    </comment>
    <comment ref="D36" authorId="0" shapeId="0" xr:uid="{00000000-0006-0000-0500-000002000000}">
      <text>
        <r>
          <rPr>
            <sz val="9"/>
            <color indexed="81"/>
            <rFont val="Tahoma"/>
            <family val="2"/>
          </rPr>
          <t>Ensure that energy values entered are in units consistent with the GHG emission factors, i.e. kWh for electricity and MJ for all other fuels/energy sources</t>
        </r>
      </text>
    </comment>
    <comment ref="G36" authorId="0" shapeId="0" xr:uid="{00000000-0006-0000-0500-000003000000}">
      <text>
        <r>
          <rPr>
            <sz val="9"/>
            <color indexed="81"/>
            <rFont val="Tahoma"/>
            <family val="2"/>
          </rPr>
          <t>Ensure that energy values entered are in units consistent with the GHG emission factors, i.e. kWh for electricity and MJ for all other fuels/energy sources</t>
        </r>
      </text>
    </comment>
    <comment ref="D61" authorId="1" shapeId="0" xr:uid="{00000000-0006-0000-0500-000004000000}">
      <text>
        <r>
          <rPr>
            <sz val="8"/>
            <color indexed="81"/>
            <rFont val="Tahoma"/>
            <family val="2"/>
          </rPr>
          <t>Figure in MJ</t>
        </r>
      </text>
    </comment>
    <comment ref="G61" authorId="1" shapeId="0" xr:uid="{00000000-0006-0000-0500-000005000000}">
      <text>
        <r>
          <rPr>
            <sz val="8"/>
            <color indexed="81"/>
            <rFont val="Tahoma"/>
            <family val="2"/>
          </rPr>
          <t>Figure in MJ</t>
        </r>
      </text>
    </comment>
    <comment ref="C72" authorId="1" shapeId="0" xr:uid="{00000000-0006-0000-0500-000006000000}">
      <text>
        <r>
          <rPr>
            <sz val="8"/>
            <color indexed="81"/>
            <rFont val="Tahoma"/>
            <family val="2"/>
          </rPr>
          <t>KWhr</t>
        </r>
      </text>
    </comment>
    <comment ref="C82" authorId="1" shapeId="0" xr:uid="{00000000-0006-0000-0500-000007000000}">
      <text>
        <r>
          <rPr>
            <sz val="8"/>
            <color indexed="81"/>
            <rFont val="Tahoma"/>
            <family val="2"/>
          </rPr>
          <t>KWhr</t>
        </r>
      </text>
    </comment>
    <comment ref="D83" authorId="1" shapeId="0" xr:uid="{00000000-0006-0000-0500-000008000000}">
      <text>
        <r>
          <rPr>
            <sz val="8"/>
            <color indexed="81"/>
            <rFont val="Tahoma"/>
            <family val="2"/>
          </rPr>
          <t>Figure in MJ</t>
        </r>
      </text>
    </comment>
    <comment ref="G83" authorId="1" shapeId="0" xr:uid="{00000000-0006-0000-0500-000009000000}">
      <text>
        <r>
          <rPr>
            <sz val="8"/>
            <color indexed="81"/>
            <rFont val="Tahoma"/>
            <family val="2"/>
          </rPr>
          <t>Figure in MJ</t>
        </r>
      </text>
    </comment>
    <comment ref="O96" authorId="0" shapeId="0" xr:uid="{00000000-0006-0000-0500-00000A000000}">
      <text>
        <r>
          <rPr>
            <b/>
            <sz val="9"/>
            <color indexed="81"/>
            <rFont val="Tahoma"/>
            <family val="2"/>
          </rPr>
          <t>richardj:</t>
        </r>
        <r>
          <rPr>
            <sz val="9"/>
            <color indexed="81"/>
            <rFont val="Tahoma"/>
            <family val="2"/>
          </rPr>
          <t xml:space="preserve">
Points available for this component of the credit</t>
        </r>
      </text>
    </comment>
    <comment ref="P96" authorId="0" shapeId="0" xr:uid="{00000000-0006-0000-0500-00000B000000}">
      <text>
        <r>
          <rPr>
            <b/>
            <sz val="9"/>
            <color indexed="81"/>
            <rFont val="Tahoma"/>
            <family val="2"/>
          </rPr>
          <t>richardj:</t>
        </r>
        <r>
          <rPr>
            <sz val="9"/>
            <color indexed="81"/>
            <rFont val="Tahoma"/>
            <family val="2"/>
          </rPr>
          <t xml:space="preserve">
Proportion of points available for this component of the credit</t>
        </r>
      </text>
    </comment>
    <comment ref="Q96" authorId="0" shapeId="0" xr:uid="{00000000-0006-0000-0500-00000C000000}">
      <text>
        <r>
          <rPr>
            <b/>
            <sz val="9"/>
            <color indexed="81"/>
            <rFont val="Tahoma"/>
            <family val="2"/>
          </rPr>
          <t>richardj:</t>
        </r>
        <r>
          <rPr>
            <sz val="9"/>
            <color indexed="81"/>
            <rFont val="Tahoma"/>
            <family val="2"/>
          </rPr>
          <t xml:space="preserve">
Maximum improvement rewarded by credit</t>
        </r>
      </text>
    </comment>
    <comment ref="O102" authorId="0" shapeId="0" xr:uid="{00000000-0006-0000-0500-00000D000000}">
      <text>
        <r>
          <rPr>
            <b/>
            <sz val="9"/>
            <color indexed="81"/>
            <rFont val="Tahoma"/>
            <family val="2"/>
          </rPr>
          <t>richardj:</t>
        </r>
        <r>
          <rPr>
            <sz val="9"/>
            <color indexed="81"/>
            <rFont val="Tahoma"/>
            <family val="2"/>
          </rPr>
          <t xml:space="preserve">
Points available for this component of the credit</t>
        </r>
      </text>
    </comment>
    <comment ref="P102" authorId="0" shapeId="0" xr:uid="{00000000-0006-0000-0500-00000E000000}">
      <text>
        <r>
          <rPr>
            <b/>
            <sz val="9"/>
            <color indexed="81"/>
            <rFont val="Tahoma"/>
            <family val="2"/>
          </rPr>
          <t>richardj:</t>
        </r>
        <r>
          <rPr>
            <sz val="9"/>
            <color indexed="81"/>
            <rFont val="Tahoma"/>
            <family val="2"/>
          </rPr>
          <t xml:space="preserve">
Proportion of points available for this component of the credit</t>
        </r>
      </text>
    </comment>
    <comment ref="Q102" authorId="0" shapeId="0" xr:uid="{00000000-0006-0000-0500-00000F000000}">
      <text>
        <r>
          <rPr>
            <b/>
            <sz val="9"/>
            <color indexed="81"/>
            <rFont val="Tahoma"/>
            <family val="2"/>
          </rPr>
          <t>richardj:</t>
        </r>
        <r>
          <rPr>
            <sz val="9"/>
            <color indexed="81"/>
            <rFont val="Tahoma"/>
            <family val="2"/>
          </rPr>
          <t xml:space="preserve">
Maximum improvement rewarded by credit</t>
        </r>
      </text>
    </comment>
    <comment ref="P114" authorId="0" shapeId="0" xr:uid="{00000000-0006-0000-0500-000010000000}">
      <text>
        <r>
          <rPr>
            <b/>
            <sz val="9"/>
            <color indexed="81"/>
            <rFont val="Tahoma"/>
            <family val="2"/>
          </rPr>
          <t>richardj:</t>
        </r>
        <r>
          <rPr>
            <sz val="9"/>
            <color indexed="81"/>
            <rFont val="Tahoma"/>
            <family val="2"/>
          </rPr>
          <t xml:space="preserve">
Straight line gradient</t>
        </r>
      </text>
    </comment>
    <comment ref="Q114" authorId="0" shapeId="0" xr:uid="{00000000-0006-0000-0500-000011000000}">
      <text>
        <r>
          <rPr>
            <b/>
            <sz val="9"/>
            <color indexed="81"/>
            <rFont val="Tahoma"/>
            <family val="2"/>
          </rPr>
          <t>richardj:</t>
        </r>
        <r>
          <rPr>
            <sz val="9"/>
            <color indexed="81"/>
            <rFont val="Tahoma"/>
            <family val="2"/>
          </rPr>
          <t xml:space="preserve">
Straight line intercept</t>
        </r>
      </text>
    </comment>
  </commentList>
</comments>
</file>

<file path=xl/sharedStrings.xml><?xml version="1.0" encoding="utf-8"?>
<sst xmlns="http://schemas.openxmlformats.org/spreadsheetml/2006/main" count="1244" uniqueCount="541">
  <si>
    <t>Climate Zone</t>
  </si>
  <si>
    <t>HVAC</t>
  </si>
  <si>
    <t>Lighting</t>
  </si>
  <si>
    <t>Domestic Hot Water</t>
  </si>
  <si>
    <t>Location</t>
  </si>
  <si>
    <t>Energy Rating (stars)</t>
  </si>
  <si>
    <t>Darwin</t>
  </si>
  <si>
    <t>Port Hedland</t>
  </si>
  <si>
    <t>Longreach</t>
  </si>
  <si>
    <t>Carnarvon</t>
  </si>
  <si>
    <t>Townsville</t>
  </si>
  <si>
    <t>Alice Springs</t>
  </si>
  <si>
    <t>Rockhampton</t>
  </si>
  <si>
    <t>Moree</t>
  </si>
  <si>
    <t>Amberley</t>
  </si>
  <si>
    <t>Brisbane</t>
  </si>
  <si>
    <t>Coffs Harbour</t>
  </si>
  <si>
    <t>Geraldton</t>
  </si>
  <si>
    <t>Perth</t>
  </si>
  <si>
    <t>Armidale</t>
  </si>
  <si>
    <t>Williamtown</t>
  </si>
  <si>
    <t>Adelaide</t>
  </si>
  <si>
    <t>Sydney East</t>
  </si>
  <si>
    <t>Nowra</t>
  </si>
  <si>
    <t>Charleville</t>
  </si>
  <si>
    <t>Wagga</t>
  </si>
  <si>
    <t>Melbourne</t>
  </si>
  <si>
    <t>East Sale</t>
  </si>
  <si>
    <t>Launceston</t>
  </si>
  <si>
    <t>All common area lighting with automatic lighting control</t>
  </si>
  <si>
    <t>Installed equipment capacity no more than 20% greater than design heating capacity</t>
  </si>
  <si>
    <t>Minimum cooling system Energy Star rating</t>
  </si>
  <si>
    <t>Minimum heating system Energy Star rating</t>
  </si>
  <si>
    <t>m²</t>
  </si>
  <si>
    <t>kg</t>
  </si>
  <si>
    <t>Installed equipment capacity no more than 10% greater than design cooling capacity</t>
  </si>
  <si>
    <t>Maximum Points</t>
  </si>
  <si>
    <t>Achieved Points</t>
  </si>
  <si>
    <t>TOTAL</t>
  </si>
  <si>
    <t>Area-Weighted Points</t>
  </si>
  <si>
    <t>Performance Improvement</t>
  </si>
  <si>
    <t>Photovoltaic</t>
  </si>
  <si>
    <t>Yes</t>
  </si>
  <si>
    <t>No</t>
  </si>
  <si>
    <t>CREDIT SCORE</t>
  </si>
  <si>
    <t>Heating</t>
  </si>
  <si>
    <t>Cooling</t>
  </si>
  <si>
    <t>Heat Rejection</t>
  </si>
  <si>
    <t>Air Conditioning Fans</t>
  </si>
  <si>
    <t>Mechanical Ventilation Fans</t>
  </si>
  <si>
    <t>Pumps</t>
  </si>
  <si>
    <t>Services</t>
  </si>
  <si>
    <t>Lifts</t>
  </si>
  <si>
    <t>Artificial Lighting - Internal</t>
  </si>
  <si>
    <t>Artificial Lighting - External</t>
  </si>
  <si>
    <t>Energy Demand</t>
  </si>
  <si>
    <t>GHG Emissions</t>
  </si>
  <si>
    <t>Renewable Energy</t>
  </si>
  <si>
    <t>Wind Turbines</t>
  </si>
  <si>
    <t>Co/Trigeneration</t>
  </si>
  <si>
    <t>Fuel Input</t>
  </si>
  <si>
    <t>Electricity Output</t>
  </si>
  <si>
    <t>Natural Gas</t>
  </si>
  <si>
    <t>External Energy Services</t>
  </si>
  <si>
    <t>Electricity Supply</t>
  </si>
  <si>
    <t>Source</t>
  </si>
  <si>
    <t>&lt;Other 1 - user to specify&gt;</t>
  </si>
  <si>
    <t>&lt;Other 2 - user to specify&gt;</t>
  </si>
  <si>
    <t>&lt;Other 3 - user to specify&gt;</t>
  </si>
  <si>
    <t>&lt;Other 4 - user to specify&gt;</t>
  </si>
  <si>
    <t>&lt;Other 5 - user to specify&gt;</t>
  </si>
  <si>
    <t>LPG</t>
  </si>
  <si>
    <t>Diesel</t>
  </si>
  <si>
    <t>Coal</t>
  </si>
  <si>
    <t>Biomass</t>
  </si>
  <si>
    <t>Liquid Biofuels</t>
  </si>
  <si>
    <t>District CHW</t>
  </si>
  <si>
    <t>District HHW</t>
  </si>
  <si>
    <t>Grid Electricity</t>
  </si>
  <si>
    <t>Location dependent</t>
  </si>
  <si>
    <t>SUBTOTAL</t>
  </si>
  <si>
    <t>Improvement</t>
  </si>
  <si>
    <t>GHG Reduction Points</t>
  </si>
  <si>
    <t>kgCO2e/annum</t>
  </si>
  <si>
    <t>DHW Circulators and Controls</t>
  </si>
  <si>
    <t>DCW Pumps and Controls</t>
  </si>
  <si>
    <t>TOTAL RENEWABLE</t>
  </si>
  <si>
    <t>Mechanical Cooling</t>
  </si>
  <si>
    <t>Natural Ventilation</t>
  </si>
  <si>
    <t>Mixed</t>
  </si>
  <si>
    <t>Using Shared Services Utilities</t>
  </si>
  <si>
    <t>ACT</t>
  </si>
  <si>
    <t>NSW</t>
  </si>
  <si>
    <t>NT</t>
  </si>
  <si>
    <t>WA</t>
  </si>
  <si>
    <t>VIC</t>
  </si>
  <si>
    <t>SA</t>
  </si>
  <si>
    <t>TAS</t>
  </si>
  <si>
    <t>QLD</t>
  </si>
  <si>
    <t>Elec</t>
  </si>
  <si>
    <t>Gas</t>
  </si>
  <si>
    <t>Upper</t>
  </si>
  <si>
    <t>Lower</t>
  </si>
  <si>
    <t>NA</t>
  </si>
  <si>
    <t>Item</t>
  </si>
  <si>
    <t>Class</t>
  </si>
  <si>
    <t>Leakage Rate</t>
  </si>
  <si>
    <t>GHG Emission Rate</t>
  </si>
  <si>
    <t>Commercial air conditioning – chillers</t>
  </si>
  <si>
    <t>Commercial refrigeration – supermarket systems</t>
  </si>
  <si>
    <t>Industrial refrigeration including food processing and cold storage</t>
  </si>
  <si>
    <t>Gas insulated switchgear and circuit breaker applications</t>
  </si>
  <si>
    <t>Synthetic GHG source equipment type</t>
  </si>
  <si>
    <t>Leakage rate</t>
  </si>
  <si>
    <t>GHG Content</t>
  </si>
  <si>
    <r>
      <t>kgCO</t>
    </r>
    <r>
      <rPr>
        <b/>
        <vertAlign val="subscript"/>
        <sz val="10"/>
        <color theme="1"/>
        <rFont val="Arial"/>
        <family val="2"/>
      </rPr>
      <t>2</t>
    </r>
    <r>
      <rPr>
        <b/>
        <sz val="10"/>
        <color theme="1"/>
        <rFont val="Arial"/>
        <family val="2"/>
      </rPr>
      <t>e/kg/annum</t>
    </r>
  </si>
  <si>
    <r>
      <t>kgCO</t>
    </r>
    <r>
      <rPr>
        <b/>
        <vertAlign val="subscript"/>
        <sz val="10"/>
        <color theme="1"/>
        <rFont val="Arial"/>
        <family val="2"/>
      </rPr>
      <t>2</t>
    </r>
    <r>
      <rPr>
        <b/>
        <sz val="10"/>
        <color theme="1"/>
        <rFont val="Arial"/>
        <family val="2"/>
      </rPr>
      <t>e/annum</t>
    </r>
  </si>
  <si>
    <t>Location independent</t>
  </si>
  <si>
    <r>
      <t>kgCO</t>
    </r>
    <r>
      <rPr>
        <vertAlign val="subscript"/>
        <sz val="10"/>
        <color theme="1"/>
        <rFont val="Arial"/>
        <family val="2"/>
      </rPr>
      <t>2</t>
    </r>
    <r>
      <rPr>
        <sz val="10"/>
        <color theme="1"/>
        <rFont val="Arial"/>
        <family val="2"/>
      </rPr>
      <t>e/kWh</t>
    </r>
  </si>
  <si>
    <r>
      <t>kgCO</t>
    </r>
    <r>
      <rPr>
        <vertAlign val="subscript"/>
        <sz val="10"/>
        <color theme="1"/>
        <rFont val="Arial"/>
        <family val="2"/>
      </rPr>
      <t>2</t>
    </r>
    <r>
      <rPr>
        <sz val="10"/>
        <color theme="1"/>
        <rFont val="Arial"/>
        <family val="2"/>
      </rPr>
      <t>e/MJ</t>
    </r>
  </si>
  <si>
    <t>GHG Emission Intensity Factors</t>
  </si>
  <si>
    <t>Lighting power density is reduced by at least 10% below the requirement of BCA Part J6 for sole-occupancy units of Class 2 buildings, and in all communal areas accessible by residents</t>
  </si>
  <si>
    <t>Independent light switching to each room of each sole-occupancy unit (including separation of kitchen and living area in open-plan living/dining areas).</t>
  </si>
  <si>
    <t>Automated lighting control systems are provided to at least 95% of the nominated area</t>
  </si>
  <si>
    <t>Canberra</t>
  </si>
  <si>
    <t>Cabramurra</t>
  </si>
  <si>
    <t>Hobart</t>
  </si>
  <si>
    <t>Mildura</t>
  </si>
  <si>
    <t>Richmond (NSW)</t>
  </si>
  <si>
    <t>Weipa</t>
  </si>
  <si>
    <t>Wyndham</t>
  </si>
  <si>
    <t>Willis Island</t>
  </si>
  <si>
    <t>Cairns</t>
  </si>
  <si>
    <t>Broome</t>
  </si>
  <si>
    <t>Learmouth</t>
  </si>
  <si>
    <t>Mackay</t>
  </si>
  <si>
    <t>Gladstone</t>
  </si>
  <si>
    <t>Halls Creek</t>
  </si>
  <si>
    <t>Tennant Creek</t>
  </si>
  <si>
    <t>Mt Isa</t>
  </si>
  <si>
    <t>Newman</t>
  </si>
  <si>
    <t>Giles</t>
  </si>
  <si>
    <t>Meekatharra</t>
  </si>
  <si>
    <t>Oodnadatta</t>
  </si>
  <si>
    <t>Kalgoorlie</t>
  </si>
  <si>
    <t>Woomera</t>
  </si>
  <si>
    <t>Cobar</t>
  </si>
  <si>
    <t>Bickley</t>
  </si>
  <si>
    <t>Dubbo</t>
  </si>
  <si>
    <t>Katanning</t>
  </si>
  <si>
    <t>Oakey</t>
  </si>
  <si>
    <t>Forrest</t>
  </si>
  <si>
    <t>Swanbourne</t>
  </si>
  <si>
    <t>Ceduna</t>
  </si>
  <si>
    <t>Mandurah</t>
  </si>
  <si>
    <t>Esperance</t>
  </si>
  <si>
    <t>Mascot</t>
  </si>
  <si>
    <t>Manjimup</t>
  </si>
  <si>
    <t>Albany</t>
  </si>
  <si>
    <t>Mt Lofty</t>
  </si>
  <si>
    <t>Tullamarine</t>
  </si>
  <si>
    <t>Mt Gambier</t>
  </si>
  <si>
    <t>Moorabbin</t>
  </si>
  <si>
    <t>Warrnambool</t>
  </si>
  <si>
    <t>Cape Otway</t>
  </si>
  <si>
    <t>Orange</t>
  </si>
  <si>
    <t>Ballarat</t>
  </si>
  <si>
    <t>Low Head</t>
  </si>
  <si>
    <t>Launceston Air</t>
  </si>
  <si>
    <t>Thredbo</t>
  </si>
  <si>
    <t>Units</t>
  </si>
  <si>
    <t>Renewable GHG Reduction (excluding GreenPower)</t>
  </si>
  <si>
    <t>Energy Consumption and Greenhouse Gas Emissions</t>
  </si>
  <si>
    <t>Energy/GHG Reduction</t>
  </si>
  <si>
    <t>Gross Floor Area (m²)</t>
  </si>
  <si>
    <t>District DHW</t>
  </si>
  <si>
    <t>ENERGY AND GREENHOUSE GAS EMISSIONS REDUCTION</t>
  </si>
  <si>
    <t>Appliances (Class 2 only)</t>
  </si>
  <si>
    <t>Electric heat pump (COP&gt;3.5)</t>
  </si>
  <si>
    <t>Waste or recovered heat</t>
  </si>
  <si>
    <t>Other</t>
  </si>
  <si>
    <t>PPA term</t>
  </si>
  <si>
    <t>TPPA term</t>
  </si>
  <si>
    <t>Swimming Pools</t>
  </si>
  <si>
    <t>Standard Emissions</t>
  </si>
  <si>
    <t>Baseline GHG emission rate</t>
  </si>
  <si>
    <t>District Electricity (inc GreenPower)</t>
  </si>
  <si>
    <t>Off-site supply max points</t>
  </si>
  <si>
    <t>&lt;90%</t>
  </si>
  <si>
    <t>≥90%</t>
  </si>
  <si>
    <t>Innovation - Renewable Energy</t>
  </si>
  <si>
    <t>Conditional Requirement</t>
  </si>
  <si>
    <t>POINTS SCORE</t>
  </si>
  <si>
    <t>Fill out each individual tab that represents the composition of your project.</t>
  </si>
  <si>
    <t>Then, allocate the Gross Floor Area of each NCC Class type that are included in your Green Star project and area-weighted points will be calculated.</t>
  </si>
  <si>
    <t>Multiple Pathways Calculator</t>
  </si>
  <si>
    <t>x</t>
  </si>
  <si>
    <t>Change Log</t>
  </si>
  <si>
    <t>User Input Cells</t>
  </si>
  <si>
    <t>Project input</t>
  </si>
  <si>
    <t>Credit Score</t>
  </si>
  <si>
    <t>For office and healthcare projects only, individually switched lighting zones do not exceed 100 m²</t>
  </si>
  <si>
    <t>Ventilation and Air-Conditioning</t>
  </si>
  <si>
    <t>Domestic hot water systems</t>
  </si>
  <si>
    <t>IT equipment</t>
  </si>
  <si>
    <t>Appliances and equipment</t>
  </si>
  <si>
    <t>Domestic hot water</t>
  </si>
  <si>
    <t>16A Prescriptive Pathway: Commercial or other Non-Residential Fitouts</t>
  </si>
  <si>
    <t>16B Prescriptive Pathway: Residential Fitouts</t>
  </si>
  <si>
    <t xml:space="preserve">The lighting power density reduction amounts to at least: </t>
  </si>
  <si>
    <t>Select Option</t>
  </si>
  <si>
    <t>Is the fitout naturally ventilated in accordance with Credit 8 - Indoor Air Quality?</t>
  </si>
  <si>
    <t>The domestic hot water systems are powered by one of the following heat sources:
• Renewable Energy;
• Natural Gas;
• Electric heat pump with a minimum coefficient of performance (COP) of 3.5 under design conditions; or
• Waste heat or heat recovered from another process.</t>
  </si>
  <si>
    <t>Equipment at workstations are either laptops no more than two years old, or thin clients no more than one year old;</t>
  </si>
  <si>
    <t>All computer monitors have an Energy Rating Labelling of at least 6 stars, or have the highest available rating where 6 star equipment is not available</t>
  </si>
  <si>
    <t>All workstation equipment is set to standby mode after no more than 10 minutes of inactivity, and all workstation equipment is automatically scheduled to turn off at the end of the working day.</t>
  </si>
  <si>
    <t xml:space="preserve">All appliances installed in the fitout are:
• Within one star of the highest energy star rating of the comparable equipment class; or
• For appliances not covered by the Energy Rating Labelling system, appliances or equipment must be 20% more efficient than comparable equipment that is no more than 2 years of age. </t>
  </si>
  <si>
    <t>Accredited GreenPower®</t>
  </si>
  <si>
    <t>What is the level of procurement purchased as a percentage of the fitout's electricity consumption?</t>
  </si>
  <si>
    <t>points claimed</t>
  </si>
  <si>
    <t>Ventilation</t>
  </si>
  <si>
    <t>natvent</t>
  </si>
  <si>
    <t>labels</t>
  </si>
  <si>
    <t>cooling</t>
  </si>
  <si>
    <t>heating</t>
  </si>
  <si>
    <t>What is the length of time commitment for the supply contract? (write in box)</t>
  </si>
  <si>
    <t>Percentage calculation</t>
  </si>
  <si>
    <t>lighting</t>
  </si>
  <si>
    <t>Greenpower</t>
  </si>
  <si>
    <t>at least 10%</t>
  </si>
  <si>
    <t>at least 20%</t>
  </si>
  <si>
    <t>Greenpower calc</t>
  </si>
  <si>
    <t>points</t>
  </si>
  <si>
    <t>contract length modifier</t>
  </si>
  <si>
    <t>Is effective cross ventilation provided in all apartments?</t>
  </si>
  <si>
    <t>Are ceiling fans installed in all living rooms and bedrooms?</t>
  </si>
  <si>
    <t>Is the fitout mechanically heated?</t>
  </si>
  <si>
    <t>The domestic hot water service complies with the following requirements:
• The primary non-renewable heat source is either natural gas, an electric heat pump with a minimum COP or 3.5, or waste heat or heat recovered from another process; and
• A solar thermal heating system is provided which contributes at least 30% of the annual thermal energy requirement for water heating.</t>
  </si>
  <si>
    <t>All appliances installed in the fitout are within one star of the highest energy star rating of the comparable equipment class.</t>
  </si>
  <si>
    <t>at least 40%</t>
  </si>
  <si>
    <t>PROJECT LOCATION</t>
  </si>
  <si>
    <t>Project capacity</t>
  </si>
  <si>
    <t>REFERENCE PROJECT</t>
  </si>
  <si>
    <t>DESIGN PROJECT</t>
  </si>
  <si>
    <t>Benchmark Project GHG</t>
  </si>
  <si>
    <t>Design Project GHG exc off-site supply</t>
  </si>
  <si>
    <t>Design Project GHG</t>
  </si>
  <si>
    <t>TOTAL AVAILABLE (out of 20)</t>
  </si>
  <si>
    <t>No GreenPower</t>
  </si>
  <si>
    <t>Is the fitout mechanically cooled?</t>
  </si>
  <si>
    <t>16C NABERS Energy Commitment Agreement Pathway</t>
  </si>
  <si>
    <t>Initial release (r1).</t>
  </si>
  <si>
    <t>Calculator Release</t>
  </si>
  <si>
    <t>Contract emission rate: CHW</t>
  </si>
  <si>
    <t>Contract emission rate: HHW</t>
  </si>
  <si>
    <t>Contract emission rate: DHW</t>
  </si>
  <si>
    <t>Contract emission rate: District Energy</t>
  </si>
  <si>
    <t>Disclaimer, Authorisation and Acknowledgment</t>
  </si>
  <si>
    <t>Summary of Changes</t>
  </si>
  <si>
    <t xml:space="preserve">This calculator addresses criterion '16A GHG Emissions Reduction - Prescriptive Pathway: Commercial or other Non-residential Fitouts'. </t>
  </si>
  <si>
    <t xml:space="preserve">This calculator addresses criterion '16B GHG Emissions Reduction - Prescriptive Pathway: Residential Fitouts'. </t>
  </si>
  <si>
    <t xml:space="preserve">This calculator addresses criterion '16C GHG Emissions Reduction - NABERS Energy Commitment Agreement Pathway'. </t>
  </si>
  <si>
    <t>For the '16D Reference Fitout' pathway, amended calculation for GHG Emissions Intensity Factor, where District Electricity is used.</t>
  </si>
  <si>
    <t>General amendments to formatting throughout the calculator.
Amendments to '16D Reference Fitout' pathway:
     - Removed the intermediate calculation column, and amended the points scale to match Table 4 in the Submission Guidelines;
     - Field for peak electricity demand reduction has been removed; 
     - Added formula missing in cooling row (I37, and I38); and
     - Amended addition in E57, to pick up swimming pools and other items.</t>
  </si>
  <si>
    <t>For the '16C NABERS Energy' pathway, amended calculation for points distribution</t>
  </si>
  <si>
    <r>
      <t>Accredited GreenPower</t>
    </r>
    <r>
      <rPr>
        <b/>
        <sz val="14"/>
        <color theme="0"/>
        <rFont val="Calibri"/>
        <family val="2"/>
      </rPr>
      <t>®</t>
    </r>
  </si>
  <si>
    <r>
      <t>Percentage GreenPower</t>
    </r>
    <r>
      <rPr>
        <b/>
        <sz val="10"/>
        <color theme="3" tint="-0.499984740745262"/>
        <rFont val="Calibri"/>
        <family val="2"/>
      </rPr>
      <t>®</t>
    </r>
    <r>
      <rPr>
        <b/>
        <sz val="10"/>
        <color theme="3" tint="-0.499984740745262"/>
        <rFont val="Arial"/>
        <family val="2"/>
      </rPr>
      <t xml:space="preserve"> as stipulated within the building's power supply contract</t>
    </r>
  </si>
  <si>
    <t>Length of GreenPower contract period (in years)</t>
  </si>
  <si>
    <t>Points for NABERS C.A</t>
  </si>
  <si>
    <t>Points for G.P</t>
  </si>
  <si>
    <t>Max Points Available</t>
  </si>
  <si>
    <t>Credit Score (CA+GP)</t>
  </si>
  <si>
    <t>Release 1 - 8/01/2015</t>
  </si>
  <si>
    <t>Release 2 - 23/01/2015</t>
  </si>
  <si>
    <t>Release 3 - 15/04/2015</t>
  </si>
  <si>
    <t>Release 4 - 1/10/2015</t>
  </si>
  <si>
    <t>Release 1 - 3/12/2015</t>
  </si>
  <si>
    <t>Green Star - Interiors  Version 1.0</t>
  </si>
  <si>
    <t>Green Star - Interiors Version 1.1</t>
  </si>
  <si>
    <t>Comments</t>
  </si>
  <si>
    <t>16C NABERS Energy Pathway</t>
  </si>
  <si>
    <t>16B Prescriptive Residential</t>
  </si>
  <si>
    <t>16D Reference Fitout Pathway</t>
  </si>
  <si>
    <t>16A Prescriptive Commerical</t>
  </si>
  <si>
    <t>Release 2 - 5/02/2016</t>
  </si>
  <si>
    <t>For the '16C NABERS Energy' pathway, amended:
   - Added calculations for the inclusion of Greenpower.</t>
  </si>
  <si>
    <t xml:space="preserve">For the '16C NABERS Energy' pathway, amended:
   - Unlocked two cells for the Greenpower inputs (D31:D32). </t>
  </si>
  <si>
    <t>Appliances and Equipment</t>
  </si>
  <si>
    <t>IT Equipment</t>
  </si>
  <si>
    <t>Domestic Hot Water Systems</t>
  </si>
  <si>
    <t>Ventilation and Air-conditioning</t>
  </si>
  <si>
    <t>The thermal efficiency of the installed water heater is 15% more than the minimum specified in NCC Table J5.4b; and</t>
  </si>
  <si>
    <t>The installed fan motor power and pump power, is at least 15% less that the maximum fan motor power and pump power specified in NCC Tables J5.2 and J5.4a;</t>
  </si>
  <si>
    <t>The required minimum energy efficiency ratio for packaged air-conditioning equipment and refrigerant chillers, is at least 15% higher than that specified in:
       - NCC Tables J5.4d and J5.4; or
       - MEPS, where Section J does not apply to the equipment capacity.</t>
  </si>
  <si>
    <t>Fan Power</t>
  </si>
  <si>
    <r>
      <t xml:space="preserve">Thermal </t>
    </r>
    <r>
      <rPr>
        <sz val="10"/>
        <color theme="1"/>
        <rFont val="Calibri"/>
        <family val="2"/>
      </rPr>
      <t>ŋ</t>
    </r>
  </si>
  <si>
    <t>EER</t>
  </si>
  <si>
    <t>Non-label</t>
  </si>
  <si>
    <t>CONDITIONAL REQUIREMENT</t>
  </si>
  <si>
    <r>
      <rPr>
        <b/>
        <sz val="10"/>
        <color theme="1"/>
        <rFont val="Arial"/>
        <family val="2"/>
      </rPr>
      <t xml:space="preserve">Appliances - </t>
    </r>
    <r>
      <rPr>
        <sz val="10"/>
        <color theme="1"/>
        <rFont val="Arial"/>
        <family val="2"/>
      </rPr>
      <t xml:space="preserve">All appliances have been specified as an above average performer, as determined by the project team. </t>
    </r>
  </si>
  <si>
    <t>NABERS Energy Reverse Calculator Inputs</t>
  </si>
  <si>
    <t>Hours each week with occupancy levels of 20% or more (hrs/week)</t>
  </si>
  <si>
    <t>Number of computers that are normally switched on when the fitout is occupied</t>
  </si>
  <si>
    <t>Area Requirement</t>
  </si>
  <si>
    <t>Total Net Lettable Area of the project (m2)</t>
  </si>
  <si>
    <t>Proportion of fitout area within NABERS Energy scope</t>
  </si>
  <si>
    <t>Benchmark Project</t>
  </si>
  <si>
    <t>Proposed Project</t>
  </si>
  <si>
    <t>NABERS Commitment Agreement</t>
  </si>
  <si>
    <t xml:space="preserve">Greenhouse Gas Emissions Threshold - Raw GHG emissions (Scope 1, 2 and 3) </t>
  </si>
  <si>
    <t>What is the length of time commitment for the supply contract? (Enter years in cell)</t>
  </si>
  <si>
    <t>For equipment without an energy label:</t>
  </si>
  <si>
    <r>
      <rPr>
        <b/>
        <sz val="10"/>
        <color theme="1"/>
        <rFont val="Arial"/>
        <family val="2"/>
      </rPr>
      <t xml:space="preserve">Lighting </t>
    </r>
    <r>
      <rPr>
        <sz val="10"/>
        <color theme="1"/>
        <rFont val="Arial"/>
        <family val="2"/>
      </rPr>
      <t>- A 5% improvement on NCC Table J6.2a has been achieved.</t>
    </r>
  </si>
  <si>
    <r>
      <rPr>
        <b/>
        <sz val="10"/>
        <color theme="1"/>
        <rFont val="Arial"/>
        <family val="2"/>
      </rPr>
      <t>Mechanical Ventilation</t>
    </r>
    <r>
      <rPr>
        <sz val="10"/>
        <color theme="1"/>
        <rFont val="Arial"/>
        <family val="2"/>
      </rPr>
      <t xml:space="preserve"> - At least a 3-Star for AC system has been installed.</t>
    </r>
  </si>
  <si>
    <t>Fitout postcode</t>
  </si>
  <si>
    <r>
      <t>Net Lettable Area of the fitout within NABERS Energy scope (m</t>
    </r>
    <r>
      <rPr>
        <vertAlign val="superscript"/>
        <sz val="10"/>
        <color theme="1"/>
        <rFont val="Arial"/>
        <family val="2"/>
      </rPr>
      <t>2</t>
    </r>
    <r>
      <rPr>
        <sz val="10"/>
        <color theme="1"/>
        <rFont val="Arial"/>
        <family val="2"/>
      </rPr>
      <t>)</t>
    </r>
  </si>
  <si>
    <r>
      <t xml:space="preserve">Does </t>
    </r>
    <r>
      <rPr>
        <b/>
        <sz val="10"/>
        <color theme="1"/>
        <rFont val="Arial"/>
        <family val="2"/>
      </rPr>
      <t>all</t>
    </r>
    <r>
      <rPr>
        <sz val="10"/>
        <color theme="1"/>
        <rFont val="Arial"/>
        <family val="2"/>
      </rPr>
      <t xml:space="preserve"> air-conditioning and heating equipment have an energy rating label as per AS/NZS 3823.2:2011?</t>
    </r>
  </si>
  <si>
    <t>For equipment with an energy label:</t>
  </si>
  <si>
    <r>
      <t xml:space="preserve">All installed </t>
    </r>
    <r>
      <rPr>
        <b/>
        <sz val="10"/>
        <color theme="1"/>
        <rFont val="Arial"/>
        <family val="2"/>
      </rPr>
      <t xml:space="preserve">heating </t>
    </r>
    <r>
      <rPr>
        <sz val="10"/>
        <color theme="1"/>
        <rFont val="Arial"/>
        <family val="2"/>
      </rPr>
      <t>equpiment has an energy rating level of at least 4 stars.</t>
    </r>
  </si>
  <si>
    <r>
      <t xml:space="preserve">All installed </t>
    </r>
    <r>
      <rPr>
        <b/>
        <sz val="10"/>
        <color theme="1"/>
        <rFont val="Arial"/>
        <family val="2"/>
      </rPr>
      <t xml:space="preserve">air-conditioning </t>
    </r>
    <r>
      <rPr>
        <sz val="10"/>
        <color theme="1"/>
        <rFont val="Arial"/>
        <family val="2"/>
      </rPr>
      <t>equpiment has an energy rating level of at least 4 stars.</t>
    </r>
  </si>
  <si>
    <t xml:space="preserve">For the '16A Prescriptive Commercial' pathway, added:
  - Conditional Requirement inputs;
  - For the 'Ventilation and Air Conditioning' section under "for equipment with an energy label", clarified inputs for projects where either air conditioning or heating equipment is not present in the project scope; and
  - For the 'Ventilation and Air Conditioning' section under "for equipment without an energy label", added 'Not Applicable' options.
For the '16B Prescriptive Residential' pathway, added:
  - Conditional Requirement inputs; and
  - Amended points distribution for Ventilation and Air-Conditioning section.
For '16C NABERS Energy' pathway, amended the layout of the calculator only. No changes have been made to the calculations.
For '16D Reference Fitout' pathway, amended calculation of points to remove the award of negative values.
</t>
  </si>
  <si>
    <t>Release 3 - 14/07/2016</t>
  </si>
  <si>
    <t xml:space="preserve">Summary of Changes - Internal Use only </t>
  </si>
  <si>
    <t>Release Number</t>
  </si>
  <si>
    <t>Date</t>
  </si>
  <si>
    <t>Author</t>
  </si>
  <si>
    <t>Reviewer</t>
  </si>
  <si>
    <t>Approver</t>
  </si>
  <si>
    <t>Sheet</t>
  </si>
  <si>
    <t>Range</t>
  </si>
  <si>
    <t>New
Value</t>
  </si>
  <si>
    <t>Old
Value</t>
  </si>
  <si>
    <t>UD</t>
  </si>
  <si>
    <t>SN</t>
  </si>
  <si>
    <t>KD</t>
  </si>
  <si>
    <t>Amended the benchmark from 20% to 10% in line with the Submission Guidelines</t>
  </si>
  <si>
    <t>16D Reference Fitout</t>
  </si>
  <si>
    <t>Q95</t>
  </si>
  <si>
    <t>Targeted Green Star Rating - Please enter the targeted Green Star Rating of the project.</t>
  </si>
  <si>
    <t>Star Rating</t>
  </si>
  <si>
    <t>Conditional Logic</t>
  </si>
  <si>
    <t>4 Stars</t>
  </si>
  <si>
    <t>5 Stars</t>
  </si>
  <si>
    <t>6 Stars</t>
  </si>
  <si>
    <t>15.0 Conditional Requirement for Minimum points threshold</t>
  </si>
  <si>
    <t>16.0 Conditional Requirement for Minimum points threshold</t>
  </si>
  <si>
    <t>Targeted Green Star Rating</t>
  </si>
  <si>
    <t>Conditional Requirement Logic</t>
  </si>
  <si>
    <t>4 Star</t>
  </si>
  <si>
    <t>5 Star</t>
  </si>
  <si>
    <t>6 Star</t>
  </si>
  <si>
    <t>Conditaional Requirement</t>
  </si>
  <si>
    <t>Percentage GreenPower® as stipulated within the building's power supply contract</t>
  </si>
  <si>
    <t>Calcuation of points for Greenpower</t>
  </si>
  <si>
    <t>16A Prescriptive Commercial</t>
  </si>
  <si>
    <t>B15</t>
  </si>
  <si>
    <t>&lt;blank&gt;</t>
  </si>
  <si>
    <t>H45</t>
  </si>
  <si>
    <t>I45</t>
  </si>
  <si>
    <t>H46</t>
  </si>
  <si>
    <t>H47</t>
  </si>
  <si>
    <t>H48</t>
  </si>
  <si>
    <t>H50</t>
  </si>
  <si>
    <t>'=IF(SUM(D45:D49)&gt;8,8,SUM(D45:D49))</t>
  </si>
  <si>
    <t>I50</t>
  </si>
  <si>
    <t>'=VLOOKUP(D15,H46:I48, 2,FALSE)</t>
  </si>
  <si>
    <t>B55</t>
  </si>
  <si>
    <t>D55</t>
  </si>
  <si>
    <t>'=IF($I$50=1, "Conditional Requirement Met", "Conditional Requirement not met")</t>
  </si>
  <si>
    <t>B14</t>
  </si>
  <si>
    <t>H39</t>
  </si>
  <si>
    <t>I39</t>
  </si>
  <si>
    <t>H40</t>
  </si>
  <si>
    <t>H41</t>
  </si>
  <si>
    <t>H42</t>
  </si>
  <si>
    <t>I46</t>
  </si>
  <si>
    <t>'=IF(AND($D$15=H46, $H$50&gt;0), 1,0)</t>
  </si>
  <si>
    <t>I47</t>
  </si>
  <si>
    <t>'=IF(AND($D$15=H47, $H$50&gt;3), 1,0)</t>
  </si>
  <si>
    <t>I48</t>
  </si>
  <si>
    <t>'=IF(AND(D15=H48, $H$50&gt;6), 1,0)</t>
  </si>
  <si>
    <t>I40</t>
  </si>
  <si>
    <t>'=IF(AND($D$14=H40, $H$44&gt;0), 1,0)</t>
  </si>
  <si>
    <t>I42</t>
  </si>
  <si>
    <t>'=IF(AND($D$14=H42, $H$44&gt;6), 1,0)</t>
  </si>
  <si>
    <t>I41</t>
  </si>
  <si>
    <t>'=IF(AND($D$14=H41, $H$44&gt;5), 1,0)</t>
  </si>
  <si>
    <t>I44</t>
  </si>
  <si>
    <t>'=VLOOKUP(D14,H40:I42, 2,FALSE)</t>
  </si>
  <si>
    <t>H44</t>
  </si>
  <si>
    <t>'=IF(SUM(D39:D42)&gt;8,8,SUM(D39:D42))</t>
  </si>
  <si>
    <t>B47</t>
  </si>
  <si>
    <t>D47</t>
  </si>
  <si>
    <t>'=IF($I$44=1, "Conditional Requirement Met", "Conditional Requirement not met")</t>
  </si>
  <si>
    <t>16C NABERS Energy</t>
  </si>
  <si>
    <t>B10</t>
  </si>
  <si>
    <t>B11</t>
  </si>
  <si>
    <t>B46</t>
  </si>
  <si>
    <t>J38</t>
  </si>
  <si>
    <t>J39</t>
  </si>
  <si>
    <t>J40</t>
  </si>
  <si>
    <t>J41</t>
  </si>
  <si>
    <t>K39</t>
  </si>
  <si>
    <t>'=IF(AND($C$11=J39, $F$36&gt;0), 1,0)</t>
  </si>
  <si>
    <t>K40</t>
  </si>
  <si>
    <t>'=IF(AND($C$11=J40, $F$36&gt;=3), 1,0)</t>
  </si>
  <si>
    <t>K41</t>
  </si>
  <si>
    <t>'=IF(AND($C$11=J41, $F$36&gt;=6), 1,0)</t>
  </si>
  <si>
    <t>K42</t>
  </si>
  <si>
    <t>'=VLOOKUP(C11,J39:K41, 2,FALSE)</t>
  </si>
  <si>
    <t>F40</t>
  </si>
  <si>
    <t>'=MIN(F36,F36*D39*D40/10)</t>
  </si>
  <si>
    <t>'=F36*D39*D40/10</t>
  </si>
  <si>
    <t>'=IF(K42=1, "Conditional Requirement Met", "Conditional Requirement not met")</t>
  </si>
  <si>
    <t>B97</t>
  </si>
  <si>
    <t>B98</t>
  </si>
  <si>
    <t>C92</t>
  </si>
  <si>
    <t>'=IF(C90&lt;=C88,"PASS","FAIL")</t>
  </si>
  <si>
    <t>B103</t>
  </si>
  <si>
    <t>O103</t>
  </si>
  <si>
    <t>O104</t>
  </si>
  <si>
    <t>O105</t>
  </si>
  <si>
    <t>O106</t>
  </si>
  <si>
    <t>O98</t>
  </si>
  <si>
    <t>O99</t>
  </si>
  <si>
    <t>P104</t>
  </si>
  <si>
    <t>'=IF(AND($C$11=O104, $C$95&gt;0), 1,0)</t>
  </si>
  <si>
    <t>P105</t>
  </si>
  <si>
    <t>'=IF(AND($C$11=O105, $C$95&gt;0), 1,0)</t>
  </si>
  <si>
    <t>P106</t>
  </si>
  <si>
    <t>'=IF(AND($C$11=O106, $C$95&gt;0), 1,0)</t>
  </si>
  <si>
    <t>C103</t>
  </si>
  <si>
    <t>'=IF(P107=1, "Conditional Requirement Met", "Conditional Requirement not met")</t>
  </si>
  <si>
    <t>P107</t>
  </si>
  <si>
    <t>'=IF($C$11="","",VLOOKUP(C11,O104:P106,2,FALSE))</t>
  </si>
  <si>
    <t>C105</t>
  </si>
  <si>
    <t>'=IF(C92="FAIL",0,MIN(SUM(C95,O99),C106))</t>
  </si>
  <si>
    <t>'=IF(C92="FAIL",0,MIN(SUM(C95,C101),C104))</t>
  </si>
  <si>
    <t>C46</t>
  </si>
  <si>
    <t xml:space="preserve">Conditional Requirements </t>
  </si>
  <si>
    <t>Achievd (excl. GP)</t>
  </si>
  <si>
    <t>area weighted</t>
  </si>
  <si>
    <t>Multiple Path Calcs</t>
  </si>
  <si>
    <t>B20</t>
  </si>
  <si>
    <t>B21</t>
  </si>
  <si>
    <t>Q12</t>
  </si>
  <si>
    <t>Q13</t>
  </si>
  <si>
    <t>R13</t>
  </si>
  <si>
    <t>S13</t>
  </si>
  <si>
    <t>S14</t>
  </si>
  <si>
    <t>S15</t>
  </si>
  <si>
    <t>S16</t>
  </si>
  <si>
    <t>Q14</t>
  </si>
  <si>
    <t>'='16A Prescriptive Commercial'!H50</t>
  </si>
  <si>
    <t>Q15</t>
  </si>
  <si>
    <t>'='16B Prescriptive Residential'!H44</t>
  </si>
  <si>
    <t>Q16</t>
  </si>
  <si>
    <t>'='16C NABERS Energy'!F36</t>
  </si>
  <si>
    <t>Q17</t>
  </si>
  <si>
    <t>'='16D Reference Fitout'!C95</t>
  </si>
  <si>
    <t>R14</t>
  </si>
  <si>
    <t>'=IFERROR((C14/$C$18*E14)*(Q14/E14),"ERROR")</t>
  </si>
  <si>
    <t>R15</t>
  </si>
  <si>
    <t>'=IFERROR((C15/$C$18*E15)*(Q15/E15),"ERROR")</t>
  </si>
  <si>
    <t>R16</t>
  </si>
  <si>
    <t>'=IFERROR((C16/$C$18*E16)*(Q16/E16),"ERROR")</t>
  </si>
  <si>
    <t>R17</t>
  </si>
  <si>
    <t>'=IFERROR((C17/$C$18*E17)*(Q17/E17),"ERROR")</t>
  </si>
  <si>
    <t>R18</t>
  </si>
  <si>
    <t>'=SUM(R14:R17)</t>
  </si>
  <si>
    <t>T14</t>
  </si>
  <si>
    <t>'=IF(AND($F$20=S14, $R$18&gt;0), 1,0)</t>
  </si>
  <si>
    <t>T15</t>
  </si>
  <si>
    <t>'=IF(AND($F$20=S15, $R$18&gt;0), 1,0)</t>
  </si>
  <si>
    <t>T16</t>
  </si>
  <si>
    <t>'=IF(AND($F$20=S16, $R$18&gt;0), 1,0)</t>
  </si>
  <si>
    <t>T17</t>
  </si>
  <si>
    <t>'=VLOOKUP(F20,S14:T16, 2,FALSE)</t>
  </si>
  <si>
    <t>=IF(T17=1, "Conditional Requirement Met", "Conditional Requirement not met")</t>
  </si>
  <si>
    <t>F21</t>
  </si>
  <si>
    <t>Version 1.2, Release 1</t>
  </si>
  <si>
    <t>Inclusion of Conditional Requirements notification in line with Interiors v1.2</t>
  </si>
  <si>
    <t>Updated the calculation of Greenpower points to limit it to the number of points available for the Commitment Agreement</t>
  </si>
  <si>
    <t>Removed Innovation points for the Renewable Energy Contribution from overall points available.</t>
  </si>
  <si>
    <t>Greenpower v1 &amp;v1.1</t>
  </si>
  <si>
    <t>Greenpower calc v1 &amp; v1.1</t>
  </si>
  <si>
    <t>GreenPower Calculatiosn</t>
  </si>
  <si>
    <t>D52</t>
  </si>
  <si>
    <t>I15</t>
  </si>
  <si>
    <t>L41</t>
  </si>
  <si>
    <t>L42</t>
  </si>
  <si>
    <t>L43</t>
  </si>
  <si>
    <t>M42</t>
  </si>
  <si>
    <t>'=IF(AND($H$50&gt;=4, $D$42&gt;=0.5, $D$43&gt;=5), L42, 0)</t>
  </si>
  <si>
    <t>M43</t>
  </si>
  <si>
    <t>'=IF(AND($H$50&gt;=5, $D$42&gt;=1, $D$43&gt;=5), L43, 0)</t>
  </si>
  <si>
    <t>D42</t>
  </si>
  <si>
    <t>L35</t>
  </si>
  <si>
    <t>L36</t>
  </si>
  <si>
    <t>L37</t>
  </si>
  <si>
    <t>M36</t>
  </si>
  <si>
    <t>'=IF(AND($H$44&gt;=4, $D$36&gt;=0.5, $D$37&gt;=5), L36, 0)</t>
  </si>
  <si>
    <t>M37</t>
  </si>
  <si>
    <t>'=IF(AND($H$44&gt;=5, $D$36&gt;=1, $D$37&gt;=5), L37, 0)</t>
  </si>
  <si>
    <t>D36</t>
  </si>
  <si>
    <t>D45</t>
  </si>
  <si>
    <t>H35</t>
  </si>
  <si>
    <t>'=MIN(F36,F36*D39*D40/5)</t>
  </si>
  <si>
    <t xml:space="preserve">GreenPower Calculations </t>
  </si>
  <si>
    <t>Amended the formula so the years match the submission guidelines (ie 5 not 10)</t>
  </si>
  <si>
    <t>Updated Greenpower calculations</t>
  </si>
  <si>
    <t>Green Star - Interiors Version 1.2</t>
  </si>
  <si>
    <t>Release 1</t>
  </si>
  <si>
    <t>For all pathways, the Conditional Requirement for minimum points to be achieved for projects targeting a 5 Star or 6 Star Rating.
For the '16A Prescriptive Commercial' tab multiple changes including;
 - Total number of available points 
-  Calculation of GreenPower points inline with the Submission Guidelines
For the '16B Prescriptive Residential' tab multiple changes including;
 - Total number of available points 
-  Calculation of GreenPower points inline with the Submission Guidelines
For the '16C NABERS Energy' tab amended the calculation of GreenPower points
For the '16D Reference Fitout' pathway, multiple changes; 
- Maximum percentage of onsite renewable energy rewarded in the credit.
- Amended the total points awarded to exclude Innovation points for onsite renewable energy</t>
  </si>
  <si>
    <t>=IF(AND(C97=0, C98=0), 0,MIN(C95,C95*C97*C98/5))</t>
  </si>
  <si>
    <t>D50</t>
  </si>
  <si>
    <t>=E43</t>
  </si>
  <si>
    <t>=MAX(M42:M43)</t>
  </si>
  <si>
    <t>D43</t>
  </si>
  <si>
    <t>=E37</t>
  </si>
  <si>
    <t>=MAX(M36:M37)</t>
  </si>
  <si>
    <t>New Zealand</t>
  </si>
  <si>
    <t>16.3 Reference Fitout Pathway</t>
  </si>
  <si>
    <r>
      <rPr>
        <b/>
        <sz val="10"/>
        <color theme="1"/>
        <rFont val="Arial"/>
        <family val="2"/>
      </rPr>
      <t>Targeted Green Star Rating</t>
    </r>
    <r>
      <rPr>
        <sz val="10"/>
        <color theme="1"/>
        <rFont val="Arial"/>
        <family val="2"/>
      </rPr>
      <t xml:space="preserve"> - Please enter the targeted Green Star Rating of the project.</t>
    </r>
  </si>
  <si>
    <r>
      <rPr>
        <b/>
        <sz val="10"/>
        <color theme="1"/>
        <rFont val="Arial"/>
        <family val="2"/>
      </rPr>
      <t xml:space="preserve">Appliances - </t>
    </r>
    <r>
      <rPr>
        <sz val="10"/>
        <color theme="1"/>
        <rFont val="Arial"/>
        <family val="2"/>
      </rPr>
      <t xml:space="preserve">All appliances have been specified as an above average performer, as determined by the project team. </t>
    </r>
  </si>
  <si>
    <r>
      <rPr>
        <b/>
        <sz val="10"/>
        <color theme="1"/>
        <rFont val="Arial"/>
        <family val="2"/>
      </rPr>
      <t xml:space="preserve">IT Equipment - </t>
    </r>
    <r>
      <rPr>
        <sz val="10"/>
        <color theme="1"/>
        <rFont val="Arial"/>
        <family val="2"/>
      </rPr>
      <t>All computer monitors have an Energy Rating Labelling of at least 4.0 Stars.</t>
    </r>
  </si>
  <si>
    <r>
      <rPr>
        <b/>
        <sz val="10"/>
        <color theme="1"/>
        <rFont val="Arial"/>
        <family val="2"/>
      </rPr>
      <t>Mechanical Ventilation</t>
    </r>
    <r>
      <rPr>
        <sz val="10"/>
        <color theme="1"/>
        <rFont val="Arial"/>
        <family val="2"/>
      </rPr>
      <t xml:space="preserve"> - A 5% improvement on all three conditions listed under Ventilation and Air- conditioning has been achieved; OR, at least a 3-Star for AC system has been installed.</t>
    </r>
  </si>
  <si>
    <r>
      <rPr>
        <b/>
        <sz val="10"/>
        <color theme="1"/>
        <rFont val="Arial"/>
        <family val="2"/>
      </rPr>
      <t xml:space="preserve">Lighting </t>
    </r>
    <r>
      <rPr>
        <sz val="10"/>
        <color theme="1"/>
        <rFont val="Arial"/>
        <family val="2"/>
      </rPr>
      <t>- A 5% improvement on NCC Table J6.2a has been achieved.</t>
    </r>
  </si>
  <si>
    <t>Small Power and Process Loads</t>
  </si>
  <si>
    <t>- Added row to include explicit space for Small Power and Process Loads in sheet 16.3</t>
  </si>
  <si>
    <t>Beca Changes:</t>
  </si>
  <si>
    <t xml:space="preserve">- Used the same NZ specific power and gas GHG Coefficients from the updated guide. </t>
  </si>
  <si>
    <t>- Named ranges changed (GeoGHGFactor, GeoLocation). Expanded data validation lists to include NZ in cells below. These still include Aus states.</t>
  </si>
  <si>
    <t>- Edited cells are highlighted like this</t>
  </si>
  <si>
    <t>- Unavailable AU pathwway sheets have been hidden. Sheets have been renamed to credit criteria names</t>
  </si>
  <si>
    <t>VL comments:</t>
  </si>
  <si>
    <t>2. total points available for precriptive pathway should be 14 points;</t>
  </si>
  <si>
    <t>3. Requirements for equipment without enegy labeling should be removed to be consistent with submission guidelines;</t>
  </si>
  <si>
    <t xml:space="preserve">This calculator addresses criterion '16B GHG Emissions Reduction - Reference Fitout Pathway'. </t>
  </si>
  <si>
    <t xml:space="preserve">4. Emission factors need to be updated with 2019 guide. </t>
  </si>
  <si>
    <t>1. remove context of Green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</si>
</sst>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
  </numFmts>
  <fonts count="5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9"/>
      <color indexed="81"/>
      <name val="Tahoma"/>
      <family val="2"/>
    </font>
    <font>
      <b/>
      <sz val="9"/>
      <color indexed="81"/>
      <name val="Tahoma"/>
      <family val="2"/>
    </font>
    <font>
      <vertAlign val="subscript"/>
      <sz val="10"/>
      <color theme="1"/>
      <name val="Arial"/>
      <family val="2"/>
    </font>
    <font>
      <b/>
      <vertAlign val="subscrip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1"/>
      <color theme="1"/>
      <name val="Arial"/>
      <family val="2"/>
    </font>
    <font>
      <b/>
      <sz val="12"/>
      <color theme="0"/>
      <name val="Calibri"/>
      <family val="2"/>
      <scheme val="minor"/>
    </font>
    <font>
      <sz val="10"/>
      <name val="Arial"/>
      <family val="2"/>
    </font>
    <font>
      <sz val="10"/>
      <color indexed="8"/>
      <name val="Arial"/>
      <family val="2"/>
    </font>
    <font>
      <sz val="11"/>
      <color theme="1"/>
      <name val="Arial"/>
      <family val="2"/>
    </font>
    <font>
      <b/>
      <sz val="14"/>
      <color theme="0"/>
      <name val="Arial"/>
      <family val="2"/>
    </font>
    <font>
      <b/>
      <sz val="20"/>
      <color theme="3" tint="-0.499984740745262"/>
      <name val="Arial"/>
      <family val="2"/>
    </font>
    <font>
      <i/>
      <sz val="10"/>
      <color theme="1"/>
      <name val="Arial"/>
      <family val="2"/>
    </font>
    <font>
      <b/>
      <sz val="10"/>
      <color theme="3" tint="-0.499984740745262"/>
      <name val="Arial"/>
      <family val="2"/>
    </font>
    <font>
      <sz val="10"/>
      <color theme="0"/>
      <name val="Arial"/>
      <family val="2"/>
    </font>
    <font>
      <b/>
      <sz val="10"/>
      <color theme="0"/>
      <name val="Arial"/>
      <family val="2"/>
    </font>
    <font>
      <sz val="10"/>
      <color rgb="FFFF0000"/>
      <name val="Arial"/>
      <family val="2"/>
    </font>
    <font>
      <sz val="8"/>
      <color indexed="81"/>
      <name val="Tahoma"/>
      <family val="2"/>
    </font>
    <font>
      <sz val="12"/>
      <color theme="1"/>
      <name val="Arial"/>
      <family val="2"/>
    </font>
    <font>
      <b/>
      <sz val="12"/>
      <color theme="0"/>
      <name val="Arial"/>
      <family val="2"/>
    </font>
    <font>
      <b/>
      <sz val="14"/>
      <color theme="0"/>
      <name val="Calibri"/>
      <family val="2"/>
    </font>
    <font>
      <b/>
      <sz val="10"/>
      <color theme="3" tint="-0.499984740745262"/>
      <name val="Calibri"/>
      <family val="2"/>
    </font>
    <font>
      <sz val="10"/>
      <color theme="1"/>
      <name val="Calibri"/>
      <family val="2"/>
    </font>
    <font>
      <b/>
      <sz val="10"/>
      <color rgb="FFFF0000"/>
      <name val="Arial"/>
      <family val="2"/>
    </font>
    <font>
      <vertAlign val="superscript"/>
      <sz val="10"/>
      <color theme="1"/>
      <name val="Arial"/>
      <family val="2"/>
    </font>
    <font>
      <b/>
      <sz val="16"/>
      <color theme="1"/>
      <name val="Calibri"/>
      <family val="2"/>
      <scheme val="minor"/>
    </font>
    <font>
      <b/>
      <sz val="10"/>
      <color indexed="18"/>
      <name val="Calibri"/>
      <family val="2"/>
      <scheme val="minor"/>
    </font>
    <font>
      <b/>
      <sz val="8"/>
      <color indexed="81"/>
      <name val="Tahoma"/>
      <family val="2"/>
    </font>
    <font>
      <b/>
      <sz val="11"/>
      <color theme="3" tint="-0.499984740745262"/>
      <name val="Arial"/>
      <family val="2"/>
    </font>
    <font>
      <b/>
      <sz val="9"/>
      <color theme="3" tint="-0.499984740745262"/>
      <name val="Arial"/>
      <family val="2"/>
    </font>
    <font>
      <sz val="10"/>
      <color theme="3" tint="-0.499984740745262"/>
      <name val="Arial"/>
      <family val="2"/>
    </font>
  </fonts>
  <fills count="43">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theme="0"/>
        <bgColor indexed="64"/>
      </patternFill>
    </fill>
    <fill>
      <patternFill patternType="solid">
        <fgColor rgb="FFFFC000"/>
        <bgColor indexed="64"/>
      </patternFill>
    </fill>
    <fill>
      <patternFill patternType="solid">
        <fgColor rgb="FFFFEB9C"/>
        <bgColor indexed="64"/>
      </patternFill>
    </fill>
    <fill>
      <patternFill patternType="solid">
        <fgColor rgb="FFFFDD4B"/>
        <bgColor indexed="64"/>
      </patternFill>
    </fill>
    <fill>
      <patternFill patternType="solid">
        <fgColor theme="1"/>
        <bgColor indexed="64"/>
      </patternFill>
    </fill>
    <fill>
      <patternFill patternType="solid">
        <fgColor rgb="FFFFC000"/>
      </patternFill>
    </fill>
    <fill>
      <patternFill patternType="solid">
        <fgColor rgb="FFFFFF00"/>
        <bgColor indexed="64"/>
      </patternFill>
    </fill>
  </fills>
  <borders count="4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hair">
        <color auto="1"/>
      </right>
      <top style="hair">
        <color auto="1"/>
      </top>
      <bottom/>
      <diagonal/>
    </border>
    <border>
      <left/>
      <right style="hair">
        <color auto="1"/>
      </right>
      <top/>
      <bottom/>
      <diagonal/>
    </border>
    <border>
      <left/>
      <right style="hair">
        <color auto="1"/>
      </right>
      <top/>
      <bottom style="thin">
        <color indexed="64"/>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dashDotDot">
        <color auto="1"/>
      </right>
      <top style="dashDotDot">
        <color auto="1"/>
      </top>
      <bottom style="dashDotDot">
        <color auto="1"/>
      </bottom>
      <diagonal/>
    </border>
    <border>
      <left style="dashDotDot">
        <color auto="1"/>
      </left>
      <right/>
      <top style="dashDotDot">
        <color auto="1"/>
      </top>
      <bottom style="dashDotDot">
        <color auto="1"/>
      </bottom>
      <diagonal/>
    </border>
    <border>
      <left/>
      <right/>
      <top style="hair">
        <color auto="1"/>
      </top>
      <bottom/>
      <diagonal/>
    </border>
    <border>
      <left/>
      <right/>
      <top style="dashDotDot">
        <color auto="1"/>
      </top>
      <bottom style="dashDotDot">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DotDot">
        <color auto="1"/>
      </left>
      <right style="dashDotDot">
        <color auto="1"/>
      </right>
      <top style="dashDotDot">
        <color auto="1"/>
      </top>
      <bottom style="dashDotDot">
        <color auto="1"/>
      </bottom>
      <diagonal/>
    </border>
    <border>
      <left style="thin">
        <color indexed="64"/>
      </left>
      <right/>
      <top style="thin">
        <color indexed="64"/>
      </top>
      <bottom/>
      <diagonal/>
    </border>
    <border>
      <left/>
      <right style="thin">
        <color indexed="64"/>
      </right>
      <top style="thin">
        <color indexed="64"/>
      </top>
      <bottom style="hair">
        <color auto="1"/>
      </bottom>
      <diagonal/>
    </border>
    <border>
      <left style="thin">
        <color indexed="64"/>
      </left>
      <right/>
      <top/>
      <bottom/>
      <diagonal/>
    </border>
    <border>
      <left/>
      <right style="thin">
        <color indexed="64"/>
      </right>
      <top style="hair">
        <color auto="1"/>
      </top>
      <bottom style="hair">
        <color auto="1"/>
      </bottom>
      <diagonal/>
    </border>
    <border>
      <left style="thin">
        <color indexed="64"/>
      </left>
      <right/>
      <top/>
      <bottom style="thin">
        <color indexed="64"/>
      </bottom>
      <diagonal/>
    </border>
    <border>
      <left/>
      <right style="thin">
        <color indexed="64"/>
      </right>
      <top style="hair">
        <color auto="1"/>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7">
    <xf numFmtId="0" fontId="0" fillId="0" borderId="0"/>
    <xf numFmtId="9" fontId="8" fillId="0" borderId="0" applyFont="0" applyFill="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8" applyNumberFormat="0" applyAlignment="0" applyProtection="0"/>
    <xf numFmtId="0" fontId="21" fillId="8" borderId="9" applyNumberFormat="0" applyAlignment="0" applyProtection="0"/>
    <xf numFmtId="0" fontId="22" fillId="8" borderId="8" applyNumberFormat="0" applyAlignment="0" applyProtection="0"/>
    <xf numFmtId="0" fontId="23" fillId="0" borderId="10" applyNumberFormat="0" applyFill="0" applyAlignment="0" applyProtection="0"/>
    <xf numFmtId="0" fontId="24" fillId="9" borderId="11"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3" applyNumberFormat="0" applyFill="0" applyAlignment="0" applyProtection="0"/>
    <xf numFmtId="0" fontId="28"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8" fillId="34" borderId="0" applyNumberFormat="0" applyBorder="0" applyAlignment="0" applyProtection="0"/>
    <xf numFmtId="0" fontId="6" fillId="0" borderId="0"/>
    <xf numFmtId="0" fontId="6" fillId="10" borderId="12" applyNumberFormat="0" applyFont="0" applyAlignment="0" applyProtection="0"/>
    <xf numFmtId="0" fontId="5" fillId="0" borderId="0"/>
    <xf numFmtId="0" fontId="32"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10" borderId="12" applyNumberFormat="0" applyFont="0" applyAlignment="0" applyProtection="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 fillId="0" borderId="0"/>
  </cellStyleXfs>
  <cellXfs count="249">
    <xf numFmtId="0" fontId="0" fillId="0" borderId="0" xfId="0"/>
    <xf numFmtId="0" fontId="0" fillId="0" borderId="0" xfId="0" applyAlignment="1">
      <alignment vertical="center"/>
    </xf>
    <xf numFmtId="0" fontId="0" fillId="3" borderId="1" xfId="0" applyFill="1" applyBorder="1"/>
    <xf numFmtId="0" fontId="0" fillId="0" borderId="0" xfId="0" applyFont="1"/>
    <xf numFmtId="0" fontId="7" fillId="0" borderId="0" xfId="0" applyFont="1" applyAlignment="1">
      <alignment vertical="center"/>
    </xf>
    <xf numFmtId="0" fontId="0" fillId="2" borderId="1" xfId="0" applyFill="1" applyBorder="1" applyProtection="1">
      <protection locked="0"/>
    </xf>
    <xf numFmtId="0" fontId="7" fillId="0" borderId="2" xfId="0" applyFont="1" applyBorder="1"/>
    <xf numFmtId="2" fontId="0" fillId="0" borderId="0" xfId="0" applyNumberFormat="1" applyAlignment="1">
      <alignment vertical="center"/>
    </xf>
    <xf numFmtId="0" fontId="0" fillId="0" borderId="0" xfId="0" applyFont="1" applyAlignment="1">
      <alignment vertical="center"/>
    </xf>
    <xf numFmtId="0" fontId="0" fillId="0" borderId="0" xfId="0" applyAlignment="1">
      <alignment vertical="center" wrapText="1"/>
    </xf>
    <xf numFmtId="0" fontId="7" fillId="0" borderId="4" xfId="0" applyFont="1" applyBorder="1"/>
    <xf numFmtId="0" fontId="0" fillId="2" borderId="1" xfId="0" applyFill="1" applyBorder="1" applyAlignment="1" applyProtection="1">
      <alignment wrapText="1"/>
      <protection locked="0"/>
    </xf>
    <xf numFmtId="0" fontId="7" fillId="3" borderId="1" xfId="0" applyFont="1" applyFill="1" applyBorder="1"/>
    <xf numFmtId="0" fontId="7" fillId="0" borderId="0" xfId="0" applyFont="1" applyAlignment="1">
      <alignment vertical="center" wrapText="1"/>
    </xf>
    <xf numFmtId="0" fontId="8" fillId="0" borderId="0" xfId="42" applyFont="1"/>
    <xf numFmtId="0" fontId="0" fillId="0" borderId="0" xfId="42" applyFont="1"/>
    <xf numFmtId="9" fontId="0" fillId="0" borderId="0" xfId="0" quotePrefix="1" applyNumberFormat="1"/>
    <xf numFmtId="0" fontId="0" fillId="0" borderId="0" xfId="0" applyAlignment="1">
      <alignment wrapText="1"/>
    </xf>
    <xf numFmtId="0" fontId="5" fillId="0" borderId="0" xfId="44"/>
    <xf numFmtId="0" fontId="5" fillId="0" borderId="0" xfId="44" applyFill="1"/>
    <xf numFmtId="0" fontId="31" fillId="0" borderId="0" xfId="44" applyFont="1" applyFill="1"/>
    <xf numFmtId="0" fontId="34" fillId="0" borderId="0" xfId="0" applyFont="1" applyFill="1"/>
    <xf numFmtId="2" fontId="34" fillId="0" borderId="0" xfId="0" applyNumberFormat="1" applyFont="1" applyFill="1" applyAlignment="1">
      <alignment horizontal="center"/>
    </xf>
    <xf numFmtId="0" fontId="29" fillId="0" borderId="0" xfId="0" applyFont="1" applyFill="1"/>
    <xf numFmtId="0" fontId="8" fillId="0" borderId="0" xfId="0" applyFont="1" applyFill="1"/>
    <xf numFmtId="0" fontId="34" fillId="0" borderId="0" xfId="0" applyFont="1" applyFill="1" applyProtection="1"/>
    <xf numFmtId="2" fontId="34" fillId="0" borderId="0" xfId="0" applyNumberFormat="1" applyFont="1" applyFill="1" applyAlignment="1" applyProtection="1">
      <alignment horizontal="center"/>
    </xf>
    <xf numFmtId="0" fontId="29" fillId="0" borderId="0" xfId="0" applyFont="1" applyFill="1" applyProtection="1"/>
    <xf numFmtId="0" fontId="0" fillId="0" borderId="0" xfId="0" applyProtection="1"/>
    <xf numFmtId="0" fontId="0" fillId="0" borderId="0" xfId="0" applyAlignment="1" applyProtection="1">
      <alignment vertical="center"/>
    </xf>
    <xf numFmtId="0" fontId="0" fillId="0" borderId="0" xfId="0" applyAlignment="1" applyProtection="1">
      <alignment vertical="center" wrapText="1"/>
    </xf>
    <xf numFmtId="0" fontId="0" fillId="0" borderId="0" xfId="0" applyFill="1" applyBorder="1" applyAlignment="1" applyProtection="1">
      <alignment vertical="center" wrapText="1"/>
    </xf>
    <xf numFmtId="0" fontId="0" fillId="36" borderId="3" xfId="0" applyFill="1" applyBorder="1" applyAlignment="1" applyProtection="1">
      <alignment horizontal="left" vertical="center"/>
    </xf>
    <xf numFmtId="0" fontId="0" fillId="0" borderId="0" xfId="0" applyFont="1" applyFill="1" applyProtection="1"/>
    <xf numFmtId="0" fontId="0" fillId="36" borderId="3" xfId="0" applyFill="1" applyBorder="1" applyAlignment="1" applyProtection="1">
      <alignment horizontal="center" vertical="center"/>
    </xf>
    <xf numFmtId="0" fontId="36" fillId="0" borderId="0" xfId="18" applyFont="1" applyFill="1" applyBorder="1" applyAlignment="1" applyProtection="1">
      <alignment vertical="center"/>
    </xf>
    <xf numFmtId="0" fontId="36" fillId="0" borderId="0" xfId="18" applyFont="1" applyFill="1" applyBorder="1" applyProtection="1"/>
    <xf numFmtId="0" fontId="37" fillId="0" borderId="0" xfId="0" applyFont="1" applyProtection="1"/>
    <xf numFmtId="9" fontId="0" fillId="0" borderId="0" xfId="0" applyNumberFormat="1" applyAlignment="1">
      <alignment vertical="center"/>
    </xf>
    <xf numFmtId="0" fontId="7" fillId="0" borderId="0" xfId="0" applyFont="1" applyAlignment="1" applyProtection="1">
      <alignment vertical="center"/>
    </xf>
    <xf numFmtId="0" fontId="7" fillId="0" borderId="16" xfId="0" applyFont="1" applyFill="1" applyBorder="1" applyAlignment="1" applyProtection="1">
      <alignment horizontal="center" vertical="center"/>
    </xf>
    <xf numFmtId="9" fontId="7" fillId="0" borderId="16" xfId="1" applyFont="1" applyFill="1" applyBorder="1" applyAlignment="1" applyProtection="1">
      <alignment horizontal="center" vertical="center"/>
    </xf>
    <xf numFmtId="9" fontId="0" fillId="0" borderId="0" xfId="0" applyNumberFormat="1" applyAlignment="1" applyProtection="1">
      <alignment vertical="center"/>
    </xf>
    <xf numFmtId="164" fontId="30" fillId="0" borderId="0" xfId="0" applyNumberFormat="1" applyFont="1" applyFill="1" applyBorder="1" applyAlignment="1" applyProtection="1">
      <alignment horizontal="center" vertical="center"/>
    </xf>
    <xf numFmtId="0" fontId="7" fillId="0" borderId="16" xfId="0" applyFont="1" applyFill="1" applyBorder="1" applyAlignment="1" applyProtection="1">
      <alignment horizontal="left" vertical="center"/>
    </xf>
    <xf numFmtId="0" fontId="29" fillId="0" borderId="0" xfId="0" applyFont="1" applyAlignment="1" applyProtection="1">
      <alignment vertical="center"/>
    </xf>
    <xf numFmtId="0" fontId="30" fillId="0" borderId="0" xfId="0" applyFont="1" applyAlignment="1" applyProtection="1">
      <alignment vertical="center" wrapText="1"/>
    </xf>
    <xf numFmtId="0" fontId="30" fillId="0" borderId="0" xfId="0" applyFont="1" applyAlignment="1" applyProtection="1">
      <alignment horizontal="left" vertical="center" wrapText="1"/>
    </xf>
    <xf numFmtId="165" fontId="0" fillId="36" borderId="3" xfId="0" applyNumberFormat="1" applyFill="1" applyBorder="1" applyAlignment="1" applyProtection="1">
      <alignment horizontal="right" vertical="center"/>
    </xf>
    <xf numFmtId="3" fontId="0" fillId="36" borderId="1" xfId="0" applyNumberFormat="1" applyFill="1" applyBorder="1" applyAlignment="1">
      <alignment horizontal="center" vertical="center"/>
    </xf>
    <xf numFmtId="2" fontId="0" fillId="0" borderId="0" xfId="0" applyNumberFormat="1" applyFill="1" applyBorder="1" applyAlignment="1">
      <alignment vertical="center"/>
    </xf>
    <xf numFmtId="2" fontId="7" fillId="0" borderId="0" xfId="0" applyNumberFormat="1" applyFont="1" applyFill="1" applyBorder="1" applyAlignment="1">
      <alignment vertical="center"/>
    </xf>
    <xf numFmtId="1" fontId="0" fillId="0" borderId="0" xfId="0" applyNumberFormat="1" applyAlignment="1">
      <alignment vertical="center"/>
    </xf>
    <xf numFmtId="9" fontId="0" fillId="36" borderId="1" xfId="1" applyFont="1" applyFill="1" applyBorder="1" applyAlignment="1">
      <alignment horizontal="center" vertical="center"/>
    </xf>
    <xf numFmtId="3" fontId="7" fillId="36" borderId="1" xfId="0" applyNumberFormat="1" applyFont="1" applyFill="1" applyBorder="1" applyAlignment="1">
      <alignment horizontal="center" vertical="center"/>
    </xf>
    <xf numFmtId="0" fontId="7" fillId="36" borderId="3" xfId="0" applyFont="1" applyFill="1" applyBorder="1" applyAlignment="1" applyProtection="1">
      <alignment horizontal="left" vertical="center"/>
    </xf>
    <xf numFmtId="0" fontId="7" fillId="36" borderId="3" xfId="0" applyFont="1" applyFill="1" applyBorder="1" applyAlignment="1" applyProtection="1">
      <alignment horizontal="left" vertical="center" wrapText="1"/>
    </xf>
    <xf numFmtId="0" fontId="7" fillId="0" borderId="20" xfId="0" applyFont="1" applyBorder="1" applyAlignment="1">
      <alignment vertical="center" wrapText="1"/>
    </xf>
    <xf numFmtId="0" fontId="7" fillId="36" borderId="20" xfId="0" applyFont="1" applyFill="1" applyBorder="1" applyAlignment="1">
      <alignment horizontal="center" vertical="center" wrapText="1"/>
    </xf>
    <xf numFmtId="0" fontId="0" fillId="0" borderId="0"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xf>
    <xf numFmtId="0" fontId="0" fillId="0" borderId="0" xfId="0" applyBorder="1" applyAlignment="1">
      <alignment vertical="center"/>
    </xf>
    <xf numFmtId="0" fontId="0" fillId="0" borderId="0" xfId="0" applyFont="1" applyBorder="1" applyAlignment="1">
      <alignment vertical="center" wrapText="1"/>
    </xf>
    <xf numFmtId="0" fontId="0" fillId="0" borderId="3" xfId="0" applyBorder="1" applyAlignment="1">
      <alignment vertical="center" wrapText="1"/>
    </xf>
    <xf numFmtId="0" fontId="7" fillId="0" borderId="0" xfId="0" applyFont="1" applyAlignment="1" applyProtection="1">
      <alignment horizontal="right" vertical="center" indent="1"/>
    </xf>
    <xf numFmtId="2" fontId="7" fillId="0" borderId="16" xfId="0" applyNumberFormat="1" applyFont="1" applyFill="1" applyBorder="1" applyAlignment="1" applyProtection="1">
      <alignment horizontal="center" vertical="center"/>
    </xf>
    <xf numFmtId="0" fontId="35" fillId="37" borderId="0" xfId="18" applyFont="1" applyFill="1" applyBorder="1" applyProtection="1"/>
    <xf numFmtId="0" fontId="35" fillId="37" borderId="0" xfId="18" applyFont="1" applyFill="1" applyBorder="1" applyAlignment="1" applyProtection="1">
      <alignment vertical="center"/>
    </xf>
    <xf numFmtId="0" fontId="34" fillId="6" borderId="23" xfId="19" applyFont="1" applyFill="1" applyBorder="1" applyProtection="1"/>
    <xf numFmtId="0" fontId="34" fillId="6" borderId="22" xfId="19" applyFont="1" applyFill="1" applyBorder="1" applyProtection="1"/>
    <xf numFmtId="0" fontId="8" fillId="38" borderId="14" xfId="19" applyFont="1" applyFill="1" applyBorder="1" applyAlignment="1" applyProtection="1">
      <alignment horizontal="center" vertical="center"/>
      <protection locked="0"/>
    </xf>
    <xf numFmtId="0" fontId="7" fillId="39" borderId="0" xfId="20" applyFont="1" applyFill="1" applyBorder="1" applyProtection="1"/>
    <xf numFmtId="0" fontId="8" fillId="38" borderId="3" xfId="19" applyFont="1" applyFill="1" applyBorder="1" applyAlignment="1" applyProtection="1">
      <alignment horizontal="center" vertical="center"/>
      <protection locked="0"/>
    </xf>
    <xf numFmtId="0" fontId="8" fillId="38" borderId="3" xfId="19" applyNumberFormat="1" applyFont="1" applyFill="1" applyBorder="1" applyAlignment="1" applyProtection="1">
      <alignment horizontal="center" vertical="center"/>
      <protection locked="0"/>
    </xf>
    <xf numFmtId="0" fontId="34" fillId="38" borderId="23" xfId="19" applyNumberFormat="1" applyFont="1" applyFill="1" applyBorder="1" applyAlignment="1" applyProtection="1"/>
    <xf numFmtId="0" fontId="35" fillId="37" borderId="0" xfId="18" applyNumberFormat="1" applyFont="1" applyFill="1" applyBorder="1" applyAlignment="1" applyProtection="1">
      <alignment vertical="center"/>
    </xf>
    <xf numFmtId="0" fontId="7" fillId="39" borderId="0" xfId="20" applyNumberFormat="1" applyFont="1" applyFill="1" applyBorder="1" applyAlignment="1" applyProtection="1"/>
    <xf numFmtId="0" fontId="0" fillId="39" borderId="0" xfId="0" applyFill="1" applyAlignment="1">
      <alignment wrapText="1"/>
    </xf>
    <xf numFmtId="0" fontId="8" fillId="38" borderId="0" xfId="19" applyFont="1" applyFill="1" applyBorder="1" applyAlignment="1" applyProtection="1">
      <alignment horizontal="center" vertical="center"/>
      <protection locked="0"/>
    </xf>
    <xf numFmtId="9" fontId="8" fillId="38" borderId="14" xfId="19" applyNumberFormat="1" applyFont="1" applyFill="1" applyBorder="1" applyAlignment="1" applyProtection="1">
      <alignment horizontal="center" vertical="center"/>
      <protection locked="0"/>
    </xf>
    <xf numFmtId="0" fontId="7" fillId="0" borderId="0" xfId="0" applyFont="1" applyProtection="1"/>
    <xf numFmtId="0" fontId="38" fillId="36" borderId="0" xfId="20" applyFont="1" applyFill="1" applyBorder="1" applyAlignment="1" applyProtection="1">
      <alignment vertical="center"/>
    </xf>
    <xf numFmtId="0" fontId="41" fillId="0" borderId="0" xfId="0" applyFont="1" applyAlignment="1" applyProtection="1">
      <alignment wrapText="1"/>
    </xf>
    <xf numFmtId="0" fontId="7" fillId="0" borderId="0" xfId="0" applyFont="1" applyAlignment="1" applyProtection="1">
      <alignment vertical="center" wrapText="1"/>
    </xf>
    <xf numFmtId="164" fontId="7" fillId="0" borderId="16" xfId="0" applyNumberFormat="1" applyFont="1" applyFill="1" applyBorder="1" applyAlignment="1" applyProtection="1">
      <alignment horizontal="center" vertical="center"/>
    </xf>
    <xf numFmtId="14" fontId="33" fillId="36" borderId="15" xfId="45" applyNumberFormat="1" applyFont="1" applyFill="1" applyBorder="1" applyAlignment="1" applyProtection="1">
      <alignment horizontal="center" vertical="center" wrapText="1"/>
    </xf>
    <xf numFmtId="0" fontId="34" fillId="38" borderId="25" xfId="19" applyNumberFormat="1" applyFont="1" applyFill="1" applyBorder="1" applyAlignment="1" applyProtection="1"/>
    <xf numFmtId="0" fontId="34" fillId="38" borderId="22" xfId="19" applyNumberFormat="1" applyFont="1" applyFill="1" applyBorder="1" applyAlignment="1" applyProtection="1"/>
    <xf numFmtId="2" fontId="0" fillId="0" borderId="3" xfId="0" applyNumberFormat="1" applyBorder="1" applyAlignment="1">
      <alignment horizontal="center" vertical="center" wrapText="1"/>
    </xf>
    <xf numFmtId="2" fontId="8" fillId="38" borderId="3" xfId="19" applyNumberFormat="1" applyFont="1" applyFill="1" applyBorder="1" applyAlignment="1" applyProtection="1">
      <alignment horizontal="center" vertical="center"/>
      <protection locked="0"/>
    </xf>
    <xf numFmtId="2" fontId="0" fillId="36" borderId="1" xfId="0" applyNumberFormat="1" applyFill="1" applyBorder="1" applyAlignment="1">
      <alignment horizontal="center" vertical="center"/>
    </xf>
    <xf numFmtId="2" fontId="7" fillId="39" borderId="0" xfId="20" applyNumberFormat="1" applyFont="1" applyFill="1" applyBorder="1" applyAlignment="1" applyProtection="1"/>
    <xf numFmtId="2" fontId="7" fillId="36" borderId="1" xfId="0" applyNumberFormat="1" applyFont="1" applyFill="1" applyBorder="1" applyAlignment="1">
      <alignment horizontal="center" vertical="center"/>
    </xf>
    <xf numFmtId="2" fontId="0" fillId="36" borderId="3" xfId="0" applyNumberFormat="1" applyFill="1" applyBorder="1" applyAlignment="1" applyProtection="1">
      <alignment horizontal="center" vertical="center"/>
    </xf>
    <xf numFmtId="2" fontId="7" fillId="0" borderId="16" xfId="0" applyNumberFormat="1" applyFont="1" applyFill="1" applyBorder="1" applyAlignment="1" applyProtection="1">
      <alignment horizontal="left" vertical="center"/>
    </xf>
    <xf numFmtId="2" fontId="0" fillId="0" borderId="0" xfId="0" applyNumberFormat="1" applyAlignment="1">
      <alignment horizontal="center" vertical="center"/>
    </xf>
    <xf numFmtId="2" fontId="0" fillId="0" borderId="3" xfId="1" applyNumberFormat="1" applyFont="1" applyBorder="1" applyAlignment="1">
      <alignment horizontal="center" vertical="center" wrapText="1"/>
    </xf>
    <xf numFmtId="1" fontId="7" fillId="0" borderId="16" xfId="0" applyNumberFormat="1" applyFont="1" applyFill="1" applyBorder="1" applyAlignment="1" applyProtection="1">
      <alignment horizontal="center" vertical="center"/>
    </xf>
    <xf numFmtId="0" fontId="43" fillId="0" borderId="0" xfId="44" applyFont="1" applyAlignment="1">
      <alignment vertical="center"/>
    </xf>
    <xf numFmtId="0" fontId="44" fillId="35" borderId="0" xfId="44" applyFont="1" applyFill="1" applyAlignment="1">
      <alignment vertical="center"/>
    </xf>
    <xf numFmtId="0" fontId="44" fillId="0" borderId="0" xfId="44" applyFont="1" applyFill="1" applyAlignment="1">
      <alignment vertical="center"/>
    </xf>
    <xf numFmtId="0" fontId="43" fillId="0" borderId="0" xfId="44" applyFont="1" applyFill="1" applyAlignment="1">
      <alignment vertical="center"/>
    </xf>
    <xf numFmtId="0" fontId="35" fillId="35" borderId="0" xfId="44" applyFont="1" applyFill="1" applyAlignment="1">
      <alignment vertical="center"/>
    </xf>
    <xf numFmtId="0" fontId="35" fillId="35" borderId="0" xfId="44" applyFont="1" applyFill="1" applyAlignment="1" applyProtection="1">
      <alignment vertical="center"/>
    </xf>
    <xf numFmtId="0" fontId="44" fillId="0" borderId="0" xfId="44" applyFont="1" applyFill="1" applyAlignment="1" applyProtection="1">
      <alignment vertical="center"/>
    </xf>
    <xf numFmtId="0" fontId="44" fillId="0" borderId="0" xfId="44" applyFont="1" applyFill="1" applyAlignment="1" applyProtection="1"/>
    <xf numFmtId="0" fontId="40" fillId="37" borderId="15" xfId="45" applyNumberFormat="1" applyFont="1" applyFill="1" applyBorder="1" applyAlignment="1" applyProtection="1">
      <alignment horizontal="center" vertical="center" wrapText="1"/>
    </xf>
    <xf numFmtId="0" fontId="39" fillId="37" borderId="3" xfId="0" applyFont="1" applyFill="1" applyBorder="1" applyAlignment="1">
      <alignment vertical="center" wrapText="1"/>
    </xf>
    <xf numFmtId="0" fontId="40" fillId="37" borderId="3" xfId="0" applyFont="1" applyFill="1" applyBorder="1" applyAlignment="1">
      <alignment vertical="center" wrapText="1"/>
    </xf>
    <xf numFmtId="0" fontId="40" fillId="37" borderId="1" xfId="0" applyFont="1" applyFill="1" applyBorder="1" applyAlignment="1">
      <alignment vertical="center"/>
    </xf>
    <xf numFmtId="0" fontId="7" fillId="39" borderId="3" xfId="20" applyNumberFormat="1" applyFont="1" applyFill="1" applyBorder="1" applyAlignment="1" applyProtection="1"/>
    <xf numFmtId="9" fontId="7" fillId="37" borderId="0" xfId="1" applyFont="1" applyFill="1" applyBorder="1" applyAlignment="1" applyProtection="1">
      <alignment horizontal="center" vertical="center"/>
    </xf>
    <xf numFmtId="0" fontId="0" fillId="0" borderId="15" xfId="0" quotePrefix="1" applyFill="1" applyBorder="1" applyAlignment="1" applyProtection="1">
      <alignment vertical="center"/>
    </xf>
    <xf numFmtId="0" fontId="0" fillId="0" borderId="15" xfId="0" applyFill="1" applyBorder="1" applyAlignment="1" applyProtection="1">
      <alignment vertical="center"/>
    </xf>
    <xf numFmtId="0" fontId="0" fillId="0" borderId="0" xfId="0" applyAlignment="1" applyProtection="1">
      <alignment vertical="center"/>
    </xf>
    <xf numFmtId="0" fontId="0" fillId="0" borderId="0" xfId="0" applyFill="1" applyAlignment="1" applyProtection="1">
      <alignment vertical="center"/>
    </xf>
    <xf numFmtId="2" fontId="0" fillId="0" borderId="0" xfId="0" applyNumberFormat="1" applyFill="1" applyAlignment="1" applyProtection="1">
      <alignment vertical="center"/>
    </xf>
    <xf numFmtId="0" fontId="40" fillId="37" borderId="26" xfId="45" applyNumberFormat="1" applyFont="1" applyFill="1" applyBorder="1" applyAlignment="1" applyProtection="1">
      <alignment vertical="center" wrapText="1"/>
    </xf>
    <xf numFmtId="0" fontId="34" fillId="38" borderId="29" xfId="19" applyNumberFormat="1" applyFont="1" applyFill="1" applyBorder="1" applyAlignment="1" applyProtection="1"/>
    <xf numFmtId="0" fontId="7" fillId="39" borderId="0" xfId="20" applyFont="1" applyFill="1" applyBorder="1" applyAlignment="1" applyProtection="1">
      <alignment vertical="center"/>
    </xf>
    <xf numFmtId="0" fontId="0" fillId="0" borderId="15" xfId="0" applyBorder="1" applyAlignment="1" applyProtection="1">
      <alignment vertical="center"/>
    </xf>
    <xf numFmtId="0" fontId="41" fillId="0" borderId="0" xfId="0" applyFont="1" applyAlignment="1" applyProtection="1">
      <alignment vertical="center"/>
    </xf>
    <xf numFmtId="0" fontId="0" fillId="38" borderId="3" xfId="19" applyFont="1" applyFill="1" applyBorder="1" applyAlignment="1" applyProtection="1">
      <alignment horizontal="center" vertical="center"/>
      <protection locked="0"/>
    </xf>
    <xf numFmtId="0" fontId="0" fillId="0" borderId="0" xfId="0" applyFill="1" applyAlignment="1" applyProtection="1">
      <alignment vertical="center" wrapText="1"/>
    </xf>
    <xf numFmtId="0" fontId="0" fillId="36" borderId="3" xfId="0" applyFill="1" applyBorder="1" applyAlignment="1" applyProtection="1">
      <alignment horizontal="center" vertical="center"/>
      <protection hidden="1"/>
    </xf>
    <xf numFmtId="0" fontId="7" fillId="0" borderId="16" xfId="0" applyFont="1" applyFill="1" applyBorder="1" applyAlignment="1" applyProtection="1">
      <alignment horizontal="center" vertical="center"/>
      <protection hidden="1"/>
    </xf>
    <xf numFmtId="0" fontId="34" fillId="38" borderId="23" xfId="64" applyNumberFormat="1" applyFont="1" applyFill="1" applyBorder="1" applyAlignment="1" applyProtection="1">
      <alignment vertical="center"/>
    </xf>
    <xf numFmtId="0" fontId="0" fillId="0" borderId="30" xfId="0" applyBorder="1" applyAlignment="1" applyProtection="1">
      <alignment vertical="center"/>
    </xf>
    <xf numFmtId="0" fontId="8" fillId="38" borderId="31" xfId="64" applyNumberFormat="1" applyFont="1" applyFill="1" applyBorder="1" applyAlignment="1" applyProtection="1">
      <alignment horizontal="center" vertical="center"/>
      <protection locked="0"/>
    </xf>
    <xf numFmtId="0" fontId="0" fillId="0" borderId="32" xfId="0" applyBorder="1" applyAlignment="1" applyProtection="1">
      <alignment vertical="center"/>
    </xf>
    <xf numFmtId="0" fontId="8" fillId="38" borderId="33" xfId="64" applyNumberFormat="1" applyFont="1" applyFill="1" applyBorder="1" applyAlignment="1" applyProtection="1">
      <alignment horizontal="center" vertical="center"/>
      <protection locked="0"/>
    </xf>
    <xf numFmtId="0" fontId="0" fillId="0" borderId="34" xfId="0" applyBorder="1" applyAlignment="1" applyProtection="1">
      <alignment vertical="center"/>
    </xf>
    <xf numFmtId="0" fontId="8" fillId="38" borderId="35" xfId="64" applyNumberFormat="1" applyFont="1" applyFill="1" applyBorder="1" applyAlignment="1" applyProtection="1">
      <alignment horizontal="center" vertical="center"/>
      <protection locked="0"/>
    </xf>
    <xf numFmtId="0" fontId="8" fillId="38" borderId="3" xfId="64" applyNumberFormat="1" applyFont="1" applyFill="1" applyBorder="1" applyAlignment="1" applyProtection="1">
      <alignment horizontal="center" vertical="center"/>
      <protection locked="0"/>
    </xf>
    <xf numFmtId="166" fontId="30" fillId="0" borderId="0" xfId="1" applyNumberFormat="1" applyFont="1" applyFill="1" applyBorder="1" applyAlignment="1" applyProtection="1">
      <alignment horizontal="center" vertical="center"/>
    </xf>
    <xf numFmtId="0" fontId="48" fillId="0" borderId="0" xfId="0" applyFont="1" applyAlignment="1" applyProtection="1">
      <alignment vertical="center"/>
    </xf>
    <xf numFmtId="0" fontId="39" fillId="37" borderId="0" xfId="0" applyFont="1" applyFill="1" applyBorder="1" applyAlignment="1">
      <alignment vertical="center" wrapText="1"/>
    </xf>
    <xf numFmtId="0" fontId="40" fillId="37" borderId="0" xfId="0" applyFont="1" applyFill="1" applyBorder="1" applyAlignment="1">
      <alignment horizontal="center" vertical="center" wrapText="1"/>
    </xf>
    <xf numFmtId="0" fontId="0" fillId="0" borderId="0" xfId="0" applyAlignment="1" applyProtection="1">
      <alignment horizontal="center" vertical="center"/>
    </xf>
    <xf numFmtId="0" fontId="35" fillId="37" borderId="0" xfId="18" applyFont="1" applyFill="1" applyBorder="1" applyAlignment="1" applyProtection="1">
      <alignment vertical="center"/>
      <protection hidden="1"/>
    </xf>
    <xf numFmtId="0" fontId="38" fillId="0" borderId="0" xfId="0" applyFont="1" applyFill="1" applyBorder="1" applyAlignment="1" applyProtection="1">
      <alignment vertical="center"/>
      <protection hidden="1"/>
    </xf>
    <xf numFmtId="0" fontId="7" fillId="39" borderId="14" xfId="65" applyNumberFormat="1" applyFont="1" applyFill="1" applyBorder="1" applyAlignment="1" applyProtection="1"/>
    <xf numFmtId="0" fontId="7" fillId="39" borderId="0" xfId="65" applyNumberFormat="1" applyFont="1" applyFill="1" applyBorder="1" applyAlignment="1" applyProtection="1"/>
    <xf numFmtId="9" fontId="8" fillId="38" borderId="24" xfId="1" applyFont="1" applyFill="1" applyBorder="1" applyAlignment="1" applyProtection="1">
      <alignment horizontal="center" vertical="center"/>
      <protection locked="0"/>
    </xf>
    <xf numFmtId="0" fontId="0" fillId="38" borderId="3" xfId="0" applyFont="1" applyFill="1" applyBorder="1" applyAlignment="1" applyProtection="1">
      <alignment horizontal="center" vertical="center"/>
      <protection locked="0"/>
    </xf>
    <xf numFmtId="0" fontId="0" fillId="0" borderId="0" xfId="0" applyFill="1" applyProtection="1"/>
    <xf numFmtId="0" fontId="7" fillId="0" borderId="0" xfId="0" applyFont="1" applyFill="1" applyProtection="1"/>
    <xf numFmtId="0" fontId="0" fillId="0" borderId="15" xfId="0" applyFill="1" applyBorder="1" applyProtection="1"/>
    <xf numFmtId="0" fontId="36" fillId="0" borderId="0" xfId="18" applyFont="1" applyFill="1" applyBorder="1" applyProtection="1">
      <protection locked="0"/>
    </xf>
    <xf numFmtId="0" fontId="35" fillId="37" borderId="0" xfId="18" applyFont="1" applyFill="1" applyBorder="1" applyProtection="1">
      <protection locked="0"/>
    </xf>
    <xf numFmtId="0" fontId="7" fillId="39" borderId="0" xfId="20" applyFont="1" applyFill="1" applyBorder="1" applyProtection="1">
      <protection locked="0"/>
    </xf>
    <xf numFmtId="0" fontId="41" fillId="0" borderId="0" xfId="0" applyFont="1" applyAlignment="1" applyProtection="1">
      <alignment wrapText="1"/>
      <protection locked="0"/>
    </xf>
    <xf numFmtId="0" fontId="0" fillId="0" borderId="0" xfId="0" applyFill="1" applyAlignment="1" applyProtection="1">
      <alignment horizontal="left" vertical="center" wrapText="1"/>
    </xf>
    <xf numFmtId="0" fontId="8" fillId="0" borderId="0" xfId="19" applyFont="1" applyFill="1" applyBorder="1" applyAlignment="1" applyProtection="1">
      <alignment horizontal="center" vertical="center"/>
      <protection locked="0"/>
    </xf>
    <xf numFmtId="0" fontId="8" fillId="38" borderId="3" xfId="19" applyFont="1" applyFill="1" applyBorder="1" applyAlignment="1" applyProtection="1">
      <alignment horizontal="center" vertical="center" wrapText="1"/>
      <protection locked="0"/>
    </xf>
    <xf numFmtId="2" fontId="0" fillId="0" borderId="15" xfId="0" applyNumberFormat="1" applyFill="1" applyBorder="1" applyAlignment="1" applyProtection="1">
      <alignment vertical="center"/>
    </xf>
    <xf numFmtId="0" fontId="2" fillId="36" borderId="0" xfId="66" applyFill="1" applyProtection="1"/>
    <xf numFmtId="0" fontId="51" fillId="0" borderId="15" xfId="0" applyFont="1" applyFill="1" applyBorder="1" applyAlignment="1">
      <alignment horizontal="left" vertical="center" wrapText="1"/>
    </xf>
    <xf numFmtId="0" fontId="51" fillId="0" borderId="15" xfId="0" applyFont="1" applyFill="1" applyBorder="1" applyAlignment="1">
      <alignment horizontal="left" vertical="center"/>
    </xf>
    <xf numFmtId="14" fontId="0" fillId="0" borderId="15" xfId="0" applyNumberFormat="1" applyBorder="1"/>
    <xf numFmtId="0" fontId="0" fillId="0" borderId="15" xfId="0" applyBorder="1"/>
    <xf numFmtId="0" fontId="0" fillId="0" borderId="15" xfId="0" applyBorder="1" applyAlignment="1">
      <alignment wrapText="1"/>
    </xf>
    <xf numFmtId="9" fontId="0" fillId="0" borderId="15" xfId="0" applyNumberFormat="1" applyBorder="1"/>
    <xf numFmtId="0" fontId="44" fillId="40" borderId="0" xfId="44" applyFont="1" applyFill="1" applyAlignment="1" applyProtection="1"/>
    <xf numFmtId="0" fontId="5" fillId="40" borderId="0" xfId="44" applyFill="1"/>
    <xf numFmtId="0" fontId="53" fillId="0" borderId="0" xfId="18" applyFont="1" applyFill="1" applyBorder="1" applyAlignment="1" applyProtection="1">
      <alignment vertical="center"/>
    </xf>
    <xf numFmtId="0" fontId="38" fillId="0" borderId="0" xfId="18" applyFont="1" applyFill="1" applyBorder="1" applyAlignment="1" applyProtection="1">
      <alignment vertical="center"/>
    </xf>
    <xf numFmtId="0" fontId="54" fillId="0" borderId="0" xfId="18" applyFont="1" applyFill="1" applyBorder="1" applyAlignment="1" applyProtection="1">
      <alignment vertical="center"/>
    </xf>
    <xf numFmtId="0" fontId="8" fillId="38" borderId="0" xfId="19" applyNumberFormat="1" applyFont="1" applyFill="1" applyBorder="1" applyAlignment="1" applyProtection="1">
      <alignment horizontal="center" vertical="center"/>
      <protection locked="0"/>
    </xf>
    <xf numFmtId="0" fontId="0" fillId="0" borderId="0" xfId="0" applyFont="1" applyAlignment="1" applyProtection="1">
      <alignment vertical="center"/>
    </xf>
    <xf numFmtId="0" fontId="0" fillId="0" borderId="37" xfId="0" applyBorder="1" applyAlignment="1" applyProtection="1">
      <alignment vertical="center"/>
    </xf>
    <xf numFmtId="0" fontId="0" fillId="0" borderId="38" xfId="0" applyBorder="1" applyAlignment="1" applyProtection="1">
      <alignment vertical="center"/>
    </xf>
    <xf numFmtId="0" fontId="0" fillId="0" borderId="0" xfId="0" applyBorder="1" applyAlignment="1" applyProtection="1">
      <alignment vertical="center"/>
    </xf>
    <xf numFmtId="0" fontId="0" fillId="0" borderId="39" xfId="0" applyBorder="1" applyAlignment="1" applyProtection="1">
      <alignment vertical="center"/>
    </xf>
    <xf numFmtId="0" fontId="0" fillId="0" borderId="32" xfId="0" applyFill="1" applyBorder="1" applyAlignment="1" applyProtection="1">
      <alignment vertical="center"/>
    </xf>
    <xf numFmtId="0" fontId="0" fillId="0" borderId="39" xfId="0" applyFill="1" applyBorder="1" applyAlignment="1" applyProtection="1">
      <alignment vertical="center"/>
    </xf>
    <xf numFmtId="0" fontId="0" fillId="0" borderId="34" xfId="0" applyFill="1" applyBorder="1" applyAlignment="1" applyProtection="1">
      <alignment vertical="center"/>
    </xf>
    <xf numFmtId="0" fontId="0" fillId="0" borderId="36" xfId="0" applyFill="1" applyBorder="1" applyAlignment="1" applyProtection="1">
      <alignment vertical="center"/>
    </xf>
    <xf numFmtId="0" fontId="0" fillId="0" borderId="40" xfId="0" applyFill="1" applyBorder="1" applyAlignment="1" applyProtection="1">
      <alignment vertical="center"/>
    </xf>
    <xf numFmtId="2" fontId="0" fillId="0" borderId="3" xfId="0" applyNumberFormat="1" applyBorder="1" applyAlignment="1">
      <alignment horizontal="center" vertical="center"/>
    </xf>
    <xf numFmtId="2" fontId="0" fillId="0" borderId="0" xfId="0" applyNumberFormat="1" applyBorder="1" applyAlignment="1">
      <alignment vertical="center" wrapText="1"/>
    </xf>
    <xf numFmtId="0" fontId="0" fillId="0" borderId="3" xfId="0" applyBorder="1" applyAlignment="1">
      <alignment vertical="center"/>
    </xf>
    <xf numFmtId="0" fontId="7" fillId="38" borderId="0" xfId="20" applyNumberFormat="1" applyFont="1" applyFill="1" applyBorder="1" applyAlignment="1" applyProtection="1"/>
    <xf numFmtId="0" fontId="0" fillId="38" borderId="0" xfId="0" applyFill="1"/>
    <xf numFmtId="0" fontId="0" fillId="0" borderId="3" xfId="0" applyBorder="1"/>
    <xf numFmtId="0" fontId="0" fillId="0" borderId="26" xfId="0" applyBorder="1" applyProtection="1"/>
    <xf numFmtId="0" fontId="0" fillId="0" borderId="30" xfId="0" applyBorder="1" applyProtection="1"/>
    <xf numFmtId="0" fontId="0" fillId="0" borderId="37" xfId="0" applyBorder="1" applyProtection="1"/>
    <xf numFmtId="0" fontId="0" fillId="0" borderId="32" xfId="0" applyBorder="1" applyProtection="1"/>
    <xf numFmtId="2" fontId="0" fillId="0" borderId="0" xfId="0" applyNumberFormat="1"/>
    <xf numFmtId="0" fontId="0" fillId="0" borderId="34" xfId="0" applyBorder="1" applyProtection="1"/>
    <xf numFmtId="0" fontId="0" fillId="0" borderId="36" xfId="0" applyBorder="1" applyProtection="1"/>
    <xf numFmtId="2" fontId="0" fillId="0" borderId="0" xfId="0" quotePrefix="1" applyNumberFormat="1"/>
    <xf numFmtId="2" fontId="0" fillId="38" borderId="3" xfId="0" applyNumberFormat="1" applyFill="1" applyBorder="1" applyAlignment="1">
      <alignment vertical="center" wrapText="1"/>
    </xf>
    <xf numFmtId="0" fontId="5" fillId="0" borderId="15" xfId="44" applyBorder="1"/>
    <xf numFmtId="0" fontId="0" fillId="0" borderId="15" xfId="0" applyFill="1" applyBorder="1"/>
    <xf numFmtId="0" fontId="1" fillId="0" borderId="15" xfId="44" quotePrefix="1" applyFont="1" applyBorder="1"/>
    <xf numFmtId="0" fontId="5" fillId="0" borderId="0" xfId="44" applyFill="1" applyBorder="1"/>
    <xf numFmtId="0" fontId="40" fillId="0" borderId="0" xfId="45" applyNumberFormat="1" applyFont="1" applyFill="1" applyBorder="1" applyAlignment="1" applyProtection="1">
      <alignment vertical="center" wrapText="1"/>
    </xf>
    <xf numFmtId="0" fontId="1" fillId="0" borderId="15" xfId="44" applyFont="1" applyBorder="1"/>
    <xf numFmtId="0" fontId="0" fillId="0" borderId="15" xfId="0" applyBorder="1" applyProtection="1"/>
    <xf numFmtId="10" fontId="0" fillId="38" borderId="3" xfId="19" applyNumberFormat="1" applyFont="1" applyFill="1" applyBorder="1" applyAlignment="1" applyProtection="1">
      <alignment horizontal="center" vertical="center"/>
      <protection locked="0"/>
    </xf>
    <xf numFmtId="9" fontId="8" fillId="38" borderId="0" xfId="1" applyFont="1" applyFill="1" applyBorder="1" applyAlignment="1" applyProtection="1">
      <alignment horizontal="center" vertical="center"/>
      <protection locked="0"/>
    </xf>
    <xf numFmtId="0" fontId="32" fillId="0" borderId="3" xfId="0" applyFont="1" applyFill="1" applyBorder="1" applyAlignment="1" applyProtection="1">
      <alignment horizontal="left" vertical="center" wrapText="1"/>
    </xf>
    <xf numFmtId="0" fontId="32" fillId="0" borderId="3" xfId="0" applyFont="1" applyFill="1" applyBorder="1" applyAlignment="1" applyProtection="1">
      <alignment vertical="center" wrapText="1"/>
    </xf>
    <xf numFmtId="0" fontId="32" fillId="0" borderId="0" xfId="0" applyFont="1" applyAlignment="1">
      <alignment vertical="center" wrapText="1"/>
    </xf>
    <xf numFmtId="0" fontId="32" fillId="0" borderId="3" xfId="0" applyFont="1" applyBorder="1" applyAlignment="1">
      <alignment vertical="center" wrapText="1"/>
    </xf>
    <xf numFmtId="14" fontId="5" fillId="0" borderId="15" xfId="44" applyNumberFormat="1" applyBorder="1"/>
    <xf numFmtId="0" fontId="0" fillId="0" borderId="15" xfId="0" quotePrefix="1" applyBorder="1"/>
    <xf numFmtId="0" fontId="36" fillId="38" borderId="3" xfId="18" applyFont="1" applyFill="1" applyBorder="1" applyAlignment="1" applyProtection="1">
      <alignment vertical="center"/>
      <protection locked="0"/>
    </xf>
    <xf numFmtId="10" fontId="55" fillId="38" borderId="3" xfId="0" applyNumberFormat="1" applyFont="1" applyFill="1" applyBorder="1" applyAlignment="1" applyProtection="1">
      <alignment horizontal="left" vertical="center" wrapText="1"/>
      <protection locked="0"/>
    </xf>
    <xf numFmtId="2" fontId="7" fillId="38" borderId="3" xfId="0" applyNumberFormat="1" applyFont="1" applyFill="1" applyBorder="1" applyAlignment="1" applyProtection="1">
      <alignment horizontal="center" vertical="center" wrapText="1"/>
      <protection locked="0"/>
    </xf>
    <xf numFmtId="2" fontId="0" fillId="38" borderId="3" xfId="0" applyNumberFormat="1" applyFill="1" applyBorder="1" applyAlignment="1" applyProtection="1">
      <alignment vertical="center" wrapText="1"/>
      <protection locked="0"/>
    </xf>
    <xf numFmtId="0" fontId="7" fillId="0" borderId="0" xfId="0" applyFont="1"/>
    <xf numFmtId="0" fontId="0" fillId="0" borderId="0" xfId="0" quotePrefix="1"/>
    <xf numFmtId="0" fontId="0" fillId="0" borderId="0" xfId="0" quotePrefix="1" applyAlignment="1">
      <alignment wrapText="1"/>
    </xf>
    <xf numFmtId="0" fontId="36" fillId="0" borderId="0" xfId="0" applyFont="1" applyAlignment="1">
      <alignment vertical="center"/>
    </xf>
    <xf numFmtId="0" fontId="35" fillId="41" borderId="0" xfId="18" applyFont="1" applyFill="1" applyAlignment="1">
      <alignment vertical="center"/>
    </xf>
    <xf numFmtId="0" fontId="35" fillId="37" borderId="0" xfId="0" applyFont="1" applyFill="1" applyAlignment="1">
      <alignment vertical="center"/>
    </xf>
    <xf numFmtId="0" fontId="35" fillId="37" borderId="0" xfId="0" applyFont="1" applyFill="1"/>
    <xf numFmtId="0" fontId="0" fillId="0" borderId="0" xfId="0" applyAlignment="1">
      <alignment horizontal="left" vertical="center" wrapText="1"/>
    </xf>
    <xf numFmtId="0" fontId="0" fillId="42" borderId="3" xfId="19" applyNumberFormat="1" applyFont="1" applyFill="1" applyBorder="1" applyAlignment="1" applyProtection="1">
      <alignment horizontal="center" vertical="center"/>
      <protection locked="0"/>
    </xf>
    <xf numFmtId="0" fontId="0" fillId="42" borderId="0" xfId="0" applyFill="1"/>
    <xf numFmtId="0" fontId="0" fillId="42" borderId="0" xfId="0" quotePrefix="1" applyFill="1"/>
    <xf numFmtId="0" fontId="0" fillId="0" borderId="15" xfId="0" applyBorder="1" applyAlignment="1">
      <alignment horizontal="left" wrapText="1"/>
    </xf>
    <xf numFmtId="3" fontId="33" fillId="36" borderId="15" xfId="45" applyNumberFormat="1" applyFont="1" applyFill="1" applyBorder="1" applyAlignment="1" applyProtection="1">
      <alignment horizontal="left" vertical="top" wrapText="1"/>
    </xf>
    <xf numFmtId="3" fontId="33" fillId="36" borderId="0" xfId="45" applyNumberFormat="1" applyFont="1" applyFill="1" applyBorder="1" applyAlignment="1" applyProtection="1">
      <alignment horizontal="center" vertical="top" wrapText="1"/>
    </xf>
    <xf numFmtId="0" fontId="40" fillId="37" borderId="26" xfId="45" applyNumberFormat="1" applyFont="1" applyFill="1" applyBorder="1" applyAlignment="1" applyProtection="1">
      <alignment horizontal="center" vertical="center" wrapText="1"/>
    </xf>
    <xf numFmtId="0" fontId="40" fillId="37" borderId="27" xfId="45" applyNumberFormat="1" applyFont="1" applyFill="1" applyBorder="1" applyAlignment="1" applyProtection="1">
      <alignment horizontal="center" vertical="center" wrapText="1"/>
    </xf>
    <xf numFmtId="0" fontId="40" fillId="37" borderId="28" xfId="45" applyNumberFormat="1" applyFont="1" applyFill="1" applyBorder="1" applyAlignment="1" applyProtection="1">
      <alignment horizontal="center" vertical="center" wrapText="1"/>
    </xf>
    <xf numFmtId="0" fontId="51" fillId="0" borderId="15" xfId="0" applyFont="1" applyFill="1" applyBorder="1" applyAlignment="1">
      <alignment horizontal="center" vertical="center" wrapText="1"/>
    </xf>
    <xf numFmtId="0" fontId="50" fillId="36" borderId="36" xfId="66" applyFont="1" applyFill="1" applyBorder="1" applyAlignment="1" applyProtection="1">
      <alignment horizontal="left"/>
    </xf>
    <xf numFmtId="0" fontId="40" fillId="37" borderId="15" xfId="45" applyNumberFormat="1" applyFont="1" applyFill="1" applyBorder="1" applyAlignment="1" applyProtection="1">
      <alignment horizontal="center" vertical="center" wrapText="1"/>
    </xf>
    <xf numFmtId="0" fontId="0" fillId="0" borderId="0" xfId="0" applyFill="1" applyAlignment="1" applyProtection="1">
      <alignment horizontal="left" vertical="center" wrapText="1"/>
    </xf>
    <xf numFmtId="0" fontId="0" fillId="0" borderId="41" xfId="0" applyBorder="1" applyAlignment="1" applyProtection="1">
      <alignment horizontal="center" wrapText="1"/>
    </xf>
    <xf numFmtId="0" fontId="0" fillId="0" borderId="42" xfId="0" applyBorder="1" applyAlignment="1" applyProtection="1">
      <alignment horizontal="center" wrapText="1"/>
    </xf>
    <xf numFmtId="2" fontId="7" fillId="0" borderId="3" xfId="0" applyNumberFormat="1" applyFont="1" applyBorder="1" applyAlignment="1">
      <alignment horizontal="center" vertical="center" wrapText="1"/>
    </xf>
    <xf numFmtId="0" fontId="40" fillId="37" borderId="1" xfId="0" applyFont="1" applyFill="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39" borderId="0" xfId="0" applyFont="1" applyFill="1" applyAlignment="1">
      <alignment horizontal="center"/>
    </xf>
    <xf numFmtId="0" fontId="0" fillId="39" borderId="0" xfId="0" applyFill="1" applyAlignment="1">
      <alignment wrapText="1"/>
    </xf>
    <xf numFmtId="0" fontId="0" fillId="39" borderId="14" xfId="0" applyFill="1" applyBorder="1" applyAlignment="1">
      <alignment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cellXfs>
  <cellStyles count="67">
    <cellStyle name="20% - Accent1" xfId="19" builtinId="30" customBuiltin="1"/>
    <cellStyle name="20% - Accent1 2" xfId="62" xr:uid="{00000000-0005-0000-0000-000001000000}"/>
    <cellStyle name="20% - Accent1 3" xfId="46" xr:uid="{00000000-0005-0000-0000-000002000000}"/>
    <cellStyle name="20% - Accent1 4" xfId="64" xr:uid="{00000000-0005-0000-0000-000003000000}"/>
    <cellStyle name="20% - Accent2" xfId="23" builtinId="34" customBuiltin="1"/>
    <cellStyle name="20% - Accent2 2" xfId="48" xr:uid="{00000000-0005-0000-0000-000005000000}"/>
    <cellStyle name="20% - Accent3" xfId="27" builtinId="38" customBuiltin="1"/>
    <cellStyle name="20% - Accent3 2" xfId="50" xr:uid="{00000000-0005-0000-0000-000007000000}"/>
    <cellStyle name="20% - Accent4" xfId="31" builtinId="42" customBuiltin="1"/>
    <cellStyle name="20% - Accent4 2" xfId="52" xr:uid="{00000000-0005-0000-0000-000009000000}"/>
    <cellStyle name="20% - Accent5" xfId="35" builtinId="46" customBuiltin="1"/>
    <cellStyle name="20% - Accent5 2" xfId="54" xr:uid="{00000000-0005-0000-0000-00000B000000}"/>
    <cellStyle name="20% - Accent6" xfId="39" builtinId="50" customBuiltin="1"/>
    <cellStyle name="20% - Accent6 2" xfId="56" xr:uid="{00000000-0005-0000-0000-00000D000000}"/>
    <cellStyle name="40% - Accent1" xfId="20" builtinId="31" customBuiltin="1"/>
    <cellStyle name="40% - Accent1 2" xfId="63" xr:uid="{00000000-0005-0000-0000-00000F000000}"/>
    <cellStyle name="40% - Accent1 3" xfId="47" xr:uid="{00000000-0005-0000-0000-000010000000}"/>
    <cellStyle name="40% - Accent1 4" xfId="65" xr:uid="{00000000-0005-0000-0000-000011000000}"/>
    <cellStyle name="40% - Accent2" xfId="24" builtinId="35" customBuiltin="1"/>
    <cellStyle name="40% - Accent2 2" xfId="49" xr:uid="{00000000-0005-0000-0000-000013000000}"/>
    <cellStyle name="40% - Accent3" xfId="28" builtinId="39" customBuiltin="1"/>
    <cellStyle name="40% - Accent3 2" xfId="51" xr:uid="{00000000-0005-0000-0000-000015000000}"/>
    <cellStyle name="40% - Accent4" xfId="32" builtinId="43" customBuiltin="1"/>
    <cellStyle name="40% - Accent4 2" xfId="53" xr:uid="{00000000-0005-0000-0000-000017000000}"/>
    <cellStyle name="40% - Accent5" xfId="36" builtinId="47" customBuiltin="1"/>
    <cellStyle name="40% - Accent5 2" xfId="55" xr:uid="{00000000-0005-0000-0000-000019000000}"/>
    <cellStyle name="40% - Accent6" xfId="40" builtinId="51" customBuiltin="1"/>
    <cellStyle name="40% - Accent6 2" xfId="57" xr:uid="{00000000-0005-0000-0000-00001B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35000000}"/>
    <cellStyle name="Normal 2 2" xfId="58" xr:uid="{00000000-0005-0000-0000-000036000000}"/>
    <cellStyle name="Normal 26 2" xfId="66" xr:uid="{00000000-0005-0000-0000-000037000000}"/>
    <cellStyle name="Normal 3" xfId="44" xr:uid="{00000000-0005-0000-0000-000038000000}"/>
    <cellStyle name="Normal 3 2" xfId="61" xr:uid="{00000000-0005-0000-0000-000039000000}"/>
    <cellStyle name="Normal 3 3" xfId="60" xr:uid="{00000000-0005-0000-0000-00003A000000}"/>
    <cellStyle name="Normal_healthcare edit.xls" xfId="45" xr:uid="{00000000-0005-0000-0000-00003B000000}"/>
    <cellStyle name="Note 2" xfId="43" xr:uid="{00000000-0005-0000-0000-00003C000000}"/>
    <cellStyle name="Note 2 2" xfId="59" xr:uid="{00000000-0005-0000-0000-00003D000000}"/>
    <cellStyle name="Output" xfId="11" builtinId="21" customBuiltin="1"/>
    <cellStyle name="Percent" xfId="1" builtinId="5"/>
    <cellStyle name="Title" xfId="2" builtinId="15" customBuiltin="1"/>
    <cellStyle name="Total" xfId="17" builtinId="25" customBuiltin="1"/>
    <cellStyle name="Warning Text" xfId="15" builtinId="11" customBuiltin="1"/>
  </cellStyles>
  <dxfs count="10">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patternType="solid">
          <fgColor theme="0"/>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border>
    </dxf>
  </dxfs>
  <tableStyles count="0" defaultTableStyle="TableStyleMedium9" defaultPivotStyle="PivotStyleLight16"/>
  <colors>
    <mruColors>
      <color rgb="FFFFEB9C"/>
      <color rgb="FFFFDD4B"/>
      <color rgb="FFF2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38886</xdr:colOff>
      <xdr:row>0</xdr:row>
      <xdr:rowOff>0</xdr:rowOff>
    </xdr:from>
    <xdr:to>
      <xdr:col>8</xdr:col>
      <xdr:colOff>2193276</xdr:colOff>
      <xdr:row>12</xdr:row>
      <xdr:rowOff>435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311" y="0"/>
          <a:ext cx="9298140" cy="2324535"/>
        </a:xfrm>
        <a:prstGeom prst="rect">
          <a:avLst/>
        </a:prstGeom>
      </xdr:spPr>
    </xdr:pic>
    <xdr:clientData/>
  </xdr:twoCellAnchor>
  <xdr:twoCellAnchor editAs="oneCell">
    <xdr:from>
      <xdr:col>1</xdr:col>
      <xdr:colOff>177801</xdr:colOff>
      <xdr:row>8</xdr:row>
      <xdr:rowOff>6350</xdr:rowOff>
    </xdr:from>
    <xdr:to>
      <xdr:col>2</xdr:col>
      <xdr:colOff>318749</xdr:colOff>
      <xdr:row>9</xdr:row>
      <xdr:rowOff>171449</xdr:rowOff>
    </xdr:to>
    <xdr:pic>
      <xdr:nvPicPr>
        <xdr:cNvPr id="3" name="Picture 2">
          <a:extLst>
            <a:ext uri="{FF2B5EF4-FFF2-40B4-BE49-F238E27FC236}">
              <a16:creationId xmlns:a16="http://schemas.microsoft.com/office/drawing/2014/main" id="{420FCE2D-0CED-472A-B845-8027EEF4DF18}"/>
            </a:ext>
          </a:extLst>
        </xdr:cNvPr>
        <xdr:cNvPicPr>
          <a:picLocks noChangeAspect="1"/>
        </xdr:cNvPicPr>
      </xdr:nvPicPr>
      <xdr:blipFill>
        <a:blip xmlns:r="http://schemas.openxmlformats.org/officeDocument/2006/relationships" r:embed="rId2"/>
        <a:stretch>
          <a:fillRect/>
        </a:stretch>
      </xdr:blipFill>
      <xdr:spPr>
        <a:xfrm>
          <a:off x="425451" y="1524000"/>
          <a:ext cx="1918948" cy="349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xdr:row>
      <xdr:rowOff>28575</xdr:rowOff>
    </xdr:from>
    <xdr:to>
      <xdr:col>15</xdr:col>
      <xdr:colOff>0</xdr:colOff>
      <xdr:row>46</xdr:row>
      <xdr:rowOff>57978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97565" y="2571336"/>
          <a:ext cx="8580783" cy="5934903"/>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effectLst/>
              <a:latin typeface="Arial" panose="020B0604020202020204" pitchFamily="34" charset="0"/>
              <a:ea typeface="+mn-ea"/>
              <a:cs typeface="Arial" panose="020B0604020202020204" pitchFamily="34" charset="0"/>
            </a:rPr>
            <a:t>The Green Star sustainability rating system for buildings (“Green Star”) and the Green Star – Interiors rating tool v1.2 (“Green Star – Interiors”) have been developed by the Green Building Council of Australia (“GBCA”).  Green Star – Interiors evaluates sustainability outcomes for the design and construction of all types of interiors fitout projects. As with all Green Star rating tools, Green Star – Interiors may be subject to further development in the future.</a:t>
          </a:r>
        </a:p>
        <a:p>
          <a:r>
            <a:rPr lang="en-AU" sz="1000">
              <a:solidFill>
                <a:schemeClr val="dk1"/>
              </a:solidFill>
              <a:effectLst/>
              <a:latin typeface="Arial" panose="020B0604020202020204" pitchFamily="34" charset="0"/>
              <a:ea typeface="+mn-ea"/>
              <a:cs typeface="Arial" panose="020B0604020202020204" pitchFamily="34" charset="0"/>
            </a:rPr>
            <a:t> </a:t>
          </a:r>
        </a:p>
        <a:p>
          <a:r>
            <a:rPr lang="en-AU" sz="1000">
              <a:solidFill>
                <a:schemeClr val="dk1"/>
              </a:solidFill>
              <a:effectLst/>
              <a:latin typeface="Arial" panose="020B0604020202020204" pitchFamily="34" charset="0"/>
              <a:ea typeface="+mn-ea"/>
              <a:cs typeface="Arial" panose="020B0604020202020204" pitchFamily="34" charset="0"/>
            </a:rPr>
            <a:t>Green Star and Green Star – Interiors have been developed with the assistance and participation of representatives from many organisations. The GBCA authorises you to view and use Green Star – Interiors for your individual use only. In exchange for this authorisation, you agree that the GBCA retains all copyright and other proprietary rights contained in and in relation to Green Star – Interiors and agree not to sell, modify, or use for another purpose all or any part of the rating tool or to reproduce, display or distribute the rating tool in any way for any public or commercial purpose, including display on a website or in a networked environment. Unauthorised use of Green Star and/or Green Star – Interiors will violate copyright and other laws, and is prohibited. All text, graphics, layout and other elements of content contained in Green Star and its rating tools are owned by the GBCA and are protected by copyright, trade mark and other laws.</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To the maximum extent permitted by law, the GBCA does not accept responsibility, including without limitation for negligence, for any inaccuracy within Green Star and/or its rating tools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Green Star and/or Green Star – Interiors , or for any injuries, losses or damages (including, without limitation, equitable relief and economic loss) arising out of such use or reliance.</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Green Star and Green Star – Interiors are no substitute for professional advice.  You should seek your own professional and other appropriate advice on the matters addressed by them.</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As a condition of use, you covenant not to sue, and agree to waive and release the GBCA, its officers, agents, employees and its members from any and all claims, demands and causes of action for any injury, loss, destruction or damage (including, without limitation, equitable relief and economic loss) that you may now or hereafter have a right to assert against such parties as a result of your use of, or reliance on, Green Star and/or Green Star – Interiors.</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GBCA does not endorse any self-assessed Green Star rating achieved by the use of Green Star – Interiors. The GBCA offers a formal certification process for 4 Star ratings and above; this service provides for independent third-party review of points claimed to ensure all points can be demonstrated to be achieved by the provision of the necessary documentary evidence.  The use of Green Star – Interiors without formal certification by the GBCA does not entitle the user or any other party to promote the Green Star rating claimed to have been achieved.</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application of Green Star – Interiors to the design and construction of all types interiors fitout projects is encouraged to assess and improve their sustainability outcomes. However, formal recognition of the Green Star rating – and the right to promote same – requires undertaking the formal certification process offered by the GBCA.</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You are only authorised to proceed to use Green Star and Green Star – Interiors on this basis.</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All rights reserved.</a:t>
          </a:r>
        </a:p>
        <a:p>
          <a:endParaRPr lang="en-AU" sz="1000">
            <a:effectLst/>
            <a:latin typeface="Arial" panose="020B0604020202020204" pitchFamily="34" charset="0"/>
            <a:cs typeface="Arial" panose="020B0604020202020204" pitchFamily="34" charset="0"/>
          </a:endParaRPr>
        </a:p>
      </xdr:txBody>
    </xdr:sp>
    <xdr:clientData/>
  </xdr:twoCellAnchor>
  <xdr:twoCellAnchor editAs="oneCell">
    <xdr:from>
      <xdr:col>1</xdr:col>
      <xdr:colOff>14039</xdr:colOff>
      <xdr:row>0</xdr:row>
      <xdr:rowOff>1</xdr:rowOff>
    </xdr:from>
    <xdr:to>
      <xdr:col>16</xdr:col>
      <xdr:colOff>168179</xdr:colOff>
      <xdr:row>11</xdr:row>
      <xdr:rowOff>229036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089" y="1"/>
          <a:ext cx="9298140" cy="2324535"/>
        </a:xfrm>
        <a:prstGeom prst="rect">
          <a:avLst/>
        </a:prstGeom>
      </xdr:spPr>
    </xdr:pic>
    <xdr:clientData/>
  </xdr:twoCellAnchor>
  <xdr:twoCellAnchor editAs="oneCell">
    <xdr:from>
      <xdr:col>1</xdr:col>
      <xdr:colOff>120650</xdr:colOff>
      <xdr:row>8</xdr:row>
      <xdr:rowOff>25400</xdr:rowOff>
    </xdr:from>
    <xdr:to>
      <xdr:col>4</xdr:col>
      <xdr:colOff>239274</xdr:colOff>
      <xdr:row>10</xdr:row>
      <xdr:rowOff>25400</xdr:rowOff>
    </xdr:to>
    <xdr:pic>
      <xdr:nvPicPr>
        <xdr:cNvPr id="4" name="Picture 3">
          <a:extLst>
            <a:ext uri="{FF2B5EF4-FFF2-40B4-BE49-F238E27FC236}">
              <a16:creationId xmlns:a16="http://schemas.microsoft.com/office/drawing/2014/main" id="{C4C5AFCF-9423-4BC0-9BD3-93D3E9085265}"/>
            </a:ext>
          </a:extLst>
        </xdr:cNvPr>
        <xdr:cNvPicPr>
          <a:picLocks noChangeAspect="1"/>
        </xdr:cNvPicPr>
      </xdr:nvPicPr>
      <xdr:blipFill>
        <a:blip xmlns:r="http://schemas.openxmlformats.org/officeDocument/2006/relationships" r:embed="rId2"/>
        <a:stretch>
          <a:fillRect/>
        </a:stretch>
      </xdr:blipFill>
      <xdr:spPr>
        <a:xfrm>
          <a:off x="539750" y="1498600"/>
          <a:ext cx="2023624" cy="368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38886</xdr:colOff>
      <xdr:row>0</xdr:row>
      <xdr:rowOff>0</xdr:rowOff>
    </xdr:from>
    <xdr:to>
      <xdr:col>3</xdr:col>
      <xdr:colOff>2835261</xdr:colOff>
      <xdr:row>2</xdr:row>
      <xdr:rowOff>821490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136" y="0"/>
          <a:ext cx="9298140" cy="2324535"/>
        </a:xfrm>
        <a:prstGeom prst="rect">
          <a:avLst/>
        </a:prstGeom>
      </xdr:spPr>
    </xdr:pic>
    <xdr:clientData/>
  </xdr:twoCellAnchor>
  <xdr:twoCellAnchor editAs="oneCell">
    <xdr:from>
      <xdr:col>1</xdr:col>
      <xdr:colOff>108736</xdr:colOff>
      <xdr:row>2</xdr:row>
      <xdr:rowOff>76200</xdr:rowOff>
    </xdr:from>
    <xdr:to>
      <xdr:col>1</xdr:col>
      <xdr:colOff>2132360</xdr:colOff>
      <xdr:row>2</xdr:row>
      <xdr:rowOff>444500</xdr:rowOff>
    </xdr:to>
    <xdr:pic>
      <xdr:nvPicPr>
        <xdr:cNvPr id="4" name="Picture 3">
          <a:extLst>
            <a:ext uri="{FF2B5EF4-FFF2-40B4-BE49-F238E27FC236}">
              <a16:creationId xmlns:a16="http://schemas.microsoft.com/office/drawing/2014/main" id="{5DA9FB48-A4E0-43C9-A59C-99C85F55B72E}"/>
            </a:ext>
          </a:extLst>
        </xdr:cNvPr>
        <xdr:cNvPicPr>
          <a:picLocks noChangeAspect="1"/>
        </xdr:cNvPicPr>
      </xdr:nvPicPr>
      <xdr:blipFill>
        <a:blip xmlns:r="http://schemas.openxmlformats.org/officeDocument/2006/relationships" r:embed="rId2"/>
        <a:stretch>
          <a:fillRect/>
        </a:stretch>
      </xdr:blipFill>
      <xdr:spPr>
        <a:xfrm>
          <a:off x="210336" y="1568450"/>
          <a:ext cx="2023624" cy="368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38886</xdr:colOff>
      <xdr:row>0</xdr:row>
      <xdr:rowOff>0</xdr:rowOff>
    </xdr:from>
    <xdr:to>
      <xdr:col>3</xdr:col>
      <xdr:colOff>2831451</xdr:colOff>
      <xdr:row>2</xdr:row>
      <xdr:rowOff>829110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136" y="0"/>
          <a:ext cx="9298140" cy="23245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38886</xdr:colOff>
      <xdr:row>0</xdr:row>
      <xdr:rowOff>0</xdr:rowOff>
    </xdr:from>
    <xdr:to>
      <xdr:col>13</xdr:col>
      <xdr:colOff>148714</xdr:colOff>
      <xdr:row>2</xdr:row>
      <xdr:rowOff>829110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136" y="0"/>
          <a:ext cx="9301453" cy="23245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38886</xdr:colOff>
      <xdr:row>0</xdr:row>
      <xdr:rowOff>0</xdr:rowOff>
    </xdr:from>
    <xdr:to>
      <xdr:col>7</xdr:col>
      <xdr:colOff>888351</xdr:colOff>
      <xdr:row>2</xdr:row>
      <xdr:rowOff>829110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136" y="0"/>
          <a:ext cx="9298140" cy="2324535"/>
        </a:xfrm>
        <a:prstGeom prst="rect">
          <a:avLst/>
        </a:prstGeom>
      </xdr:spPr>
    </xdr:pic>
    <xdr:clientData/>
  </xdr:twoCellAnchor>
  <xdr:twoCellAnchor editAs="oneCell">
    <xdr:from>
      <xdr:col>1</xdr:col>
      <xdr:colOff>79707</xdr:colOff>
      <xdr:row>2</xdr:row>
      <xdr:rowOff>63499</xdr:rowOff>
    </xdr:from>
    <xdr:to>
      <xdr:col>1</xdr:col>
      <xdr:colOff>2103331</xdr:colOff>
      <xdr:row>2</xdr:row>
      <xdr:rowOff>431799</xdr:rowOff>
    </xdr:to>
    <xdr:pic>
      <xdr:nvPicPr>
        <xdr:cNvPr id="3" name="Picture 2">
          <a:extLst>
            <a:ext uri="{FF2B5EF4-FFF2-40B4-BE49-F238E27FC236}">
              <a16:creationId xmlns:a16="http://schemas.microsoft.com/office/drawing/2014/main" id="{2F3BB13B-A1E9-4393-AB0B-BA35C8D51CEC}"/>
            </a:ext>
          </a:extLst>
        </xdr:cNvPr>
        <xdr:cNvPicPr>
          <a:picLocks noChangeAspect="1"/>
        </xdr:cNvPicPr>
      </xdr:nvPicPr>
      <xdr:blipFill>
        <a:blip xmlns:r="http://schemas.openxmlformats.org/officeDocument/2006/relationships" r:embed="rId2"/>
        <a:stretch>
          <a:fillRect/>
        </a:stretch>
      </xdr:blipFill>
      <xdr:spPr>
        <a:xfrm>
          <a:off x="261136" y="1560285"/>
          <a:ext cx="2023624" cy="368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38886</xdr:colOff>
      <xdr:row>0</xdr:row>
      <xdr:rowOff>0</xdr:rowOff>
    </xdr:from>
    <xdr:to>
      <xdr:col>8</xdr:col>
      <xdr:colOff>250176</xdr:colOff>
      <xdr:row>2</xdr:row>
      <xdr:rowOff>829110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36" y="0"/>
          <a:ext cx="9298140" cy="23245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OLO-MS-FILE01\Greenstar\Tool%20Devt%20&amp;%20Review\02.%20New%20Generation%20Rating%20Tools\GS%20Interiors\02.%20Working%20Copy\01.%20Calculators%20and%20Scorecard\16.%20Greenhouse%20Gas%20Emissions\Greenhouse%20Gas%20Emissions%20Calculator_NABERS%20KDSNKD.xlsx?93B6B47B" TargetMode="External"/><Relationship Id="rId1" Type="http://schemas.openxmlformats.org/officeDocument/2006/relationships/externalLinkPath" Target="file:///\\93B6B47B\Greenhouse%20Gas%20Emissions%20Calculator_NABERS%20KDSNK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16A Prescriptive Commercial"/>
      <sheetName val="16B Prescriptive Residential"/>
      <sheetName val="16C NABERS Energy"/>
      <sheetName val="16D Reference Fitout"/>
      <sheetName val="Multiple Path Calcs"/>
      <sheetName val="Synthetic GHG"/>
      <sheetName val="Reference"/>
    </sheetNames>
    <sheetDataSet>
      <sheetData sheetId="0" refreshError="1"/>
      <sheetData sheetId="1" refreshError="1"/>
      <sheetData sheetId="2" refreshError="1"/>
      <sheetData sheetId="3" refreshError="1"/>
      <sheetData sheetId="4"/>
      <sheetData sheetId="5">
        <row r="15">
          <cell r="B15" t="str">
            <v>Grid Electricity</v>
          </cell>
        </row>
        <row r="16">
          <cell r="B16" t="str">
            <v>Natural Gas</v>
          </cell>
        </row>
        <row r="17">
          <cell r="B17" t="str">
            <v>LPG</v>
          </cell>
        </row>
        <row r="18">
          <cell r="B18" t="str">
            <v>Diesel</v>
          </cell>
        </row>
        <row r="19">
          <cell r="B19" t="str">
            <v>Coal</v>
          </cell>
        </row>
        <row r="20">
          <cell r="B20" t="str">
            <v>Biomass</v>
          </cell>
        </row>
        <row r="21">
          <cell r="B21" t="str">
            <v>Liquid Biofuels</v>
          </cell>
        </row>
        <row r="22">
          <cell r="B22" t="str">
            <v>District CHW</v>
          </cell>
        </row>
        <row r="23">
          <cell r="B23" t="str">
            <v>District HHW</v>
          </cell>
        </row>
        <row r="24">
          <cell r="B24" t="str">
            <v>District DHW</v>
          </cell>
        </row>
        <row r="25">
          <cell r="B25" t="str">
            <v>District Electricity (inc GreenPower)</v>
          </cell>
        </row>
      </sheetData>
      <sheetData sheetId="6" refreshError="1"/>
      <sheetData sheetId="7" refreshError="1"/>
      <sheetData sheetId="8">
        <row r="3">
          <cell r="Z3" t="str">
            <v>Yes</v>
          </cell>
          <cell r="AB3" t="str">
            <v>ACT</v>
          </cell>
          <cell r="AC3">
            <v>1.05</v>
          </cell>
          <cell r="AD3">
            <v>6.4129999999999993E-2</v>
          </cell>
          <cell r="AE3" t="str">
            <v>Commercial air conditioning – chillers</v>
          </cell>
          <cell r="AF3">
            <v>0.09</v>
          </cell>
        </row>
        <row r="4">
          <cell r="Z4" t="str">
            <v>No</v>
          </cell>
          <cell r="AB4" t="str">
            <v>NSW</v>
          </cell>
          <cell r="AC4">
            <v>1.05</v>
          </cell>
          <cell r="AD4">
            <v>6.4129999999999993E-2</v>
          </cell>
          <cell r="AE4" t="str">
            <v>Commercial refrigeration – supermarket systems</v>
          </cell>
          <cell r="AF4">
            <v>0.23</v>
          </cell>
        </row>
        <row r="5">
          <cell r="AB5" t="str">
            <v>NT</v>
          </cell>
          <cell r="AC5">
            <v>0.77</v>
          </cell>
          <cell r="AD5">
            <v>5.1330000000000001E-2</v>
          </cell>
          <cell r="AE5" t="str">
            <v>Industrial refrigeration including food processing and cold storage</v>
          </cell>
          <cell r="AF5">
            <v>0.16</v>
          </cell>
        </row>
        <row r="6">
          <cell r="AB6" t="str">
            <v>QLD</v>
          </cell>
          <cell r="AC6">
            <v>0.95</v>
          </cell>
          <cell r="AD6">
            <v>6.003E-2</v>
          </cell>
          <cell r="AE6" t="str">
            <v>Gas insulated switchgear and circuit breaker applications</v>
          </cell>
          <cell r="AF6">
            <v>8.8999999999999999E-3</v>
          </cell>
        </row>
        <row r="7">
          <cell r="AB7" t="str">
            <v>SA</v>
          </cell>
          <cell r="AC7">
            <v>0.73</v>
          </cell>
          <cell r="AD7">
            <v>6.173E-2</v>
          </cell>
        </row>
        <row r="8">
          <cell r="AB8" t="str">
            <v>TAS</v>
          </cell>
          <cell r="AC8">
            <v>0.22</v>
          </cell>
          <cell r="AD8">
            <v>5.1330000000000001E-2</v>
          </cell>
        </row>
        <row r="9">
          <cell r="AB9" t="str">
            <v>VIC</v>
          </cell>
          <cell r="AC9">
            <v>1.32</v>
          </cell>
          <cell r="AD9">
            <v>5.5229999999999994E-2</v>
          </cell>
        </row>
        <row r="10">
          <cell r="AB10" t="str">
            <v>WA</v>
          </cell>
          <cell r="AC10">
            <v>0.84</v>
          </cell>
          <cell r="AD10">
            <v>5.5329999999999997E-2</v>
          </cell>
        </row>
        <row r="13">
          <cell r="Z13">
            <v>1</v>
          </cell>
        </row>
        <row r="14">
          <cell r="Z14">
            <v>2</v>
          </cell>
        </row>
        <row r="15">
          <cell r="Z15">
            <v>3</v>
          </cell>
        </row>
        <row r="16">
          <cell r="Z16">
            <v>4</v>
          </cell>
        </row>
        <row r="17">
          <cell r="Z17">
            <v>5</v>
          </cell>
        </row>
        <row r="18">
          <cell r="Z18">
            <v>6</v>
          </cell>
        </row>
        <row r="19">
          <cell r="Z19">
            <v>7</v>
          </cell>
        </row>
        <row r="20">
          <cell r="Z20">
            <v>8</v>
          </cell>
        </row>
        <row r="21">
          <cell r="Z21">
            <v>9</v>
          </cell>
        </row>
        <row r="22">
          <cell r="Z22">
            <v>10</v>
          </cell>
        </row>
        <row r="23">
          <cell r="Z23" t="str">
            <v>&lt;90%</v>
          </cell>
        </row>
        <row r="24">
          <cell r="Z24" t="str">
            <v>≥90%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R135"/>
  <sheetViews>
    <sheetView workbookViewId="0">
      <selection activeCell="I7" sqref="I7"/>
    </sheetView>
  </sheetViews>
  <sheetFormatPr defaultColWidth="9.08984375" defaultRowHeight="14.5" x14ac:dyDescent="0.35"/>
  <cols>
    <col min="1" max="1" width="3.54296875" style="18" customWidth="1"/>
    <col min="2" max="2" width="25.453125" style="18" customWidth="1"/>
    <col min="3" max="3" width="21.6328125" style="18" customWidth="1"/>
    <col min="4" max="4" width="7.08984375" style="18" customWidth="1"/>
    <col min="5" max="5" width="8.54296875" style="18" customWidth="1"/>
    <col min="6" max="6" width="9.08984375" style="18"/>
    <col min="7" max="7" width="25.36328125" style="18" bestFit="1" customWidth="1"/>
    <col min="8" max="8" width="9.90625" style="18" customWidth="1"/>
    <col min="9" max="9" width="75.6328125" style="18" bestFit="1" customWidth="1"/>
    <col min="10" max="10" width="40.6328125" style="18" bestFit="1" customWidth="1"/>
    <col min="11" max="16384" width="9.08984375" style="18"/>
  </cols>
  <sheetData>
    <row r="2" spans="2:13" ht="18" customHeight="1" x14ac:dyDescent="0.35"/>
    <row r="14" spans="2:13" ht="33.75" customHeight="1" x14ac:dyDescent="0.35">
      <c r="B14" s="104" t="s">
        <v>197</v>
      </c>
      <c r="C14" s="164"/>
      <c r="D14" s="164"/>
      <c r="E14" s="165"/>
      <c r="F14" s="165"/>
      <c r="G14" s="165"/>
      <c r="H14" s="165"/>
      <c r="I14" s="165"/>
      <c r="J14" s="198"/>
      <c r="K14" s="198"/>
      <c r="L14" s="198"/>
      <c r="M14" s="198"/>
    </row>
    <row r="15" spans="2:13" s="19" customFormat="1" ht="15.5" x14ac:dyDescent="0.35">
      <c r="B15" s="105"/>
      <c r="C15" s="106"/>
      <c r="D15" s="106"/>
      <c r="J15" s="198"/>
      <c r="K15" s="198"/>
      <c r="L15" s="198"/>
      <c r="M15" s="198"/>
    </row>
    <row r="16" spans="2:13" ht="24" customHeight="1" x14ac:dyDescent="0.35">
      <c r="B16" s="118"/>
      <c r="C16" s="107" t="s">
        <v>252</v>
      </c>
      <c r="D16" s="233" t="s">
        <v>258</v>
      </c>
      <c r="E16" s="233"/>
      <c r="F16" s="233"/>
      <c r="G16" s="233"/>
      <c r="H16" s="233"/>
      <c r="I16" s="233"/>
      <c r="J16" s="199"/>
      <c r="K16" s="199"/>
      <c r="L16" s="199"/>
      <c r="M16" s="199"/>
    </row>
    <row r="17" spans="2:13" ht="26" x14ac:dyDescent="0.35">
      <c r="B17" s="118" t="s">
        <v>511</v>
      </c>
      <c r="C17" s="86" t="s">
        <v>512</v>
      </c>
      <c r="D17" s="226" t="s">
        <v>513</v>
      </c>
      <c r="E17" s="226"/>
      <c r="F17" s="226"/>
      <c r="G17" s="226"/>
      <c r="H17" s="226"/>
      <c r="I17" s="226"/>
      <c r="J17" s="199"/>
      <c r="K17" s="199"/>
      <c r="L17" s="199"/>
      <c r="M17" s="199"/>
    </row>
    <row r="18" spans="2:13" x14ac:dyDescent="0.35">
      <c r="B18" s="228" t="s">
        <v>278</v>
      </c>
      <c r="C18" s="86" t="s">
        <v>321</v>
      </c>
      <c r="D18" s="226" t="s">
        <v>320</v>
      </c>
      <c r="E18" s="226"/>
      <c r="F18" s="226"/>
      <c r="G18" s="226"/>
      <c r="H18" s="226"/>
      <c r="I18" s="226"/>
      <c r="J18" s="227"/>
      <c r="K18" s="227"/>
      <c r="L18" s="227"/>
      <c r="M18" s="227"/>
    </row>
    <row r="19" spans="2:13" ht="31.5" customHeight="1" x14ac:dyDescent="0.35">
      <c r="B19" s="229"/>
      <c r="C19" s="86" t="s">
        <v>284</v>
      </c>
      <c r="D19" s="226" t="s">
        <v>286</v>
      </c>
      <c r="E19" s="226"/>
      <c r="F19" s="226"/>
      <c r="G19" s="226"/>
      <c r="H19" s="226"/>
      <c r="I19" s="226"/>
      <c r="J19" s="227"/>
      <c r="K19" s="227"/>
      <c r="L19" s="227"/>
      <c r="M19" s="227"/>
    </row>
    <row r="20" spans="2:13" ht="31.5" customHeight="1" x14ac:dyDescent="0.35">
      <c r="B20" s="230"/>
      <c r="C20" s="86" t="s">
        <v>276</v>
      </c>
      <c r="D20" s="226" t="s">
        <v>285</v>
      </c>
      <c r="E20" s="226"/>
      <c r="F20" s="226"/>
      <c r="G20" s="226"/>
      <c r="H20" s="226"/>
      <c r="I20" s="226"/>
      <c r="J20" s="227"/>
      <c r="K20" s="227"/>
      <c r="L20" s="227"/>
      <c r="M20" s="227"/>
    </row>
    <row r="21" spans="2:13" ht="24" customHeight="1" x14ac:dyDescent="0.35">
      <c r="B21" s="228" t="s">
        <v>277</v>
      </c>
      <c r="C21" s="86" t="s">
        <v>275</v>
      </c>
      <c r="D21" s="226" t="s">
        <v>264</v>
      </c>
      <c r="E21" s="226"/>
      <c r="F21" s="226"/>
      <c r="G21" s="226"/>
      <c r="H21" s="226"/>
      <c r="I21" s="226"/>
      <c r="J21" s="227"/>
      <c r="K21" s="227"/>
      <c r="L21" s="227"/>
      <c r="M21" s="227"/>
    </row>
    <row r="22" spans="2:13" ht="22.5" customHeight="1" x14ac:dyDescent="0.35">
      <c r="B22" s="229"/>
      <c r="C22" s="86" t="s">
        <v>274</v>
      </c>
      <c r="D22" s="226" t="s">
        <v>262</v>
      </c>
      <c r="E22" s="226"/>
      <c r="F22" s="226"/>
      <c r="G22" s="226"/>
      <c r="H22" s="226"/>
      <c r="I22" s="226"/>
      <c r="J22" s="227"/>
      <c r="K22" s="227"/>
      <c r="L22" s="227"/>
      <c r="M22" s="227"/>
    </row>
    <row r="23" spans="2:13" ht="89.25" customHeight="1" x14ac:dyDescent="0.35">
      <c r="B23" s="229"/>
      <c r="C23" s="86" t="s">
        <v>273</v>
      </c>
      <c r="D23" s="226" t="s">
        <v>263</v>
      </c>
      <c r="E23" s="226"/>
      <c r="F23" s="226"/>
      <c r="G23" s="226"/>
      <c r="H23" s="226"/>
      <c r="I23" s="226"/>
      <c r="J23" s="227"/>
      <c r="K23" s="227"/>
      <c r="L23" s="227"/>
      <c r="M23" s="227"/>
    </row>
    <row r="24" spans="2:13" ht="18.75" customHeight="1" x14ac:dyDescent="0.35">
      <c r="B24" s="230"/>
      <c r="C24" s="86" t="s">
        <v>272</v>
      </c>
      <c r="D24" s="226" t="s">
        <v>251</v>
      </c>
      <c r="E24" s="226"/>
      <c r="F24" s="226"/>
      <c r="G24" s="226"/>
      <c r="H24" s="226"/>
      <c r="I24" s="226"/>
      <c r="J24" s="227"/>
      <c r="K24" s="227"/>
      <c r="L24" s="227"/>
      <c r="M24" s="227"/>
    </row>
    <row r="33" spans="2:18" ht="21" hidden="1" x14ac:dyDescent="0.5">
      <c r="B33" s="232" t="s">
        <v>322</v>
      </c>
      <c r="C33" s="232"/>
      <c r="D33" s="232"/>
      <c r="E33" s="232"/>
      <c r="F33" s="232"/>
      <c r="G33" s="232"/>
      <c r="H33" s="232"/>
      <c r="I33" s="232"/>
      <c r="J33" s="157"/>
      <c r="K33" s="157"/>
    </row>
    <row r="34" spans="2:18" ht="26" hidden="1" x14ac:dyDescent="0.35">
      <c r="B34" s="158" t="s">
        <v>323</v>
      </c>
      <c r="C34" s="159" t="s">
        <v>324</v>
      </c>
      <c r="D34" s="159" t="s">
        <v>325</v>
      </c>
      <c r="E34" s="159" t="s">
        <v>326</v>
      </c>
      <c r="F34" s="159" t="s">
        <v>327</v>
      </c>
      <c r="G34" s="159" t="s">
        <v>328</v>
      </c>
      <c r="H34" s="159" t="s">
        <v>329</v>
      </c>
      <c r="I34" s="158" t="s">
        <v>330</v>
      </c>
      <c r="J34" s="158" t="s">
        <v>331</v>
      </c>
      <c r="K34" s="231" t="s">
        <v>279</v>
      </c>
      <c r="L34" s="231"/>
      <c r="M34" s="231"/>
      <c r="N34" s="231"/>
      <c r="O34" s="231"/>
      <c r="P34" s="231"/>
      <c r="Q34" s="231"/>
      <c r="R34" s="231"/>
    </row>
    <row r="35" spans="2:18" hidden="1" x14ac:dyDescent="0.35">
      <c r="B35" s="160" t="s">
        <v>480</v>
      </c>
      <c r="C35" s="208">
        <v>42909</v>
      </c>
      <c r="D35" s="200" t="s">
        <v>333</v>
      </c>
      <c r="E35" s="195"/>
      <c r="F35" s="195"/>
      <c r="G35" s="161" t="s">
        <v>354</v>
      </c>
      <c r="H35" s="161" t="s">
        <v>355</v>
      </c>
      <c r="I35" s="161" t="s">
        <v>338</v>
      </c>
      <c r="J35" s="161" t="s">
        <v>356</v>
      </c>
      <c r="K35" s="225" t="s">
        <v>481</v>
      </c>
      <c r="L35" s="225"/>
      <c r="M35" s="225"/>
      <c r="N35" s="225"/>
      <c r="O35" s="225"/>
      <c r="P35" s="225"/>
      <c r="Q35" s="225"/>
      <c r="R35" s="225"/>
    </row>
    <row r="36" spans="2:18" hidden="1" x14ac:dyDescent="0.35">
      <c r="B36" s="160" t="s">
        <v>480</v>
      </c>
      <c r="C36" s="208">
        <v>42909</v>
      </c>
      <c r="D36" s="200" t="s">
        <v>333</v>
      </c>
      <c r="E36" s="195"/>
      <c r="F36" s="195"/>
      <c r="G36" s="161" t="s">
        <v>354</v>
      </c>
      <c r="H36" s="161" t="s">
        <v>357</v>
      </c>
      <c r="I36" s="161" t="s">
        <v>339</v>
      </c>
      <c r="J36" s="161" t="s">
        <v>356</v>
      </c>
      <c r="K36" s="225" t="s">
        <v>481</v>
      </c>
      <c r="L36" s="225"/>
      <c r="M36" s="225"/>
      <c r="N36" s="225"/>
      <c r="O36" s="225"/>
      <c r="P36" s="225"/>
      <c r="Q36" s="225"/>
      <c r="R36" s="225"/>
    </row>
    <row r="37" spans="2:18" hidden="1" x14ac:dyDescent="0.35">
      <c r="B37" s="160" t="s">
        <v>480</v>
      </c>
      <c r="C37" s="208">
        <v>42909</v>
      </c>
      <c r="D37" s="200" t="s">
        <v>333</v>
      </c>
      <c r="E37" s="195"/>
      <c r="F37" s="195"/>
      <c r="G37" s="161" t="s">
        <v>354</v>
      </c>
      <c r="H37" s="161" t="s">
        <v>358</v>
      </c>
      <c r="I37" s="161" t="s">
        <v>340</v>
      </c>
      <c r="J37" s="161" t="s">
        <v>356</v>
      </c>
      <c r="K37" s="225" t="s">
        <v>481</v>
      </c>
      <c r="L37" s="225"/>
      <c r="M37" s="225"/>
      <c r="N37" s="225"/>
      <c r="O37" s="225"/>
      <c r="P37" s="225"/>
      <c r="Q37" s="225"/>
      <c r="R37" s="225"/>
    </row>
    <row r="38" spans="2:18" hidden="1" x14ac:dyDescent="0.35">
      <c r="B38" s="160" t="s">
        <v>480</v>
      </c>
      <c r="C38" s="208">
        <v>42909</v>
      </c>
      <c r="D38" s="200" t="s">
        <v>333</v>
      </c>
      <c r="E38" s="195"/>
      <c r="F38" s="195"/>
      <c r="G38" s="161" t="s">
        <v>354</v>
      </c>
      <c r="H38" s="161" t="s">
        <v>359</v>
      </c>
      <c r="I38" s="161" t="s">
        <v>341</v>
      </c>
      <c r="J38" s="161" t="s">
        <v>356</v>
      </c>
      <c r="K38" s="225" t="s">
        <v>481</v>
      </c>
      <c r="L38" s="225"/>
      <c r="M38" s="225"/>
      <c r="N38" s="225"/>
      <c r="O38" s="225"/>
      <c r="P38" s="225"/>
      <c r="Q38" s="225"/>
      <c r="R38" s="225"/>
    </row>
    <row r="39" spans="2:18" hidden="1" x14ac:dyDescent="0.35">
      <c r="B39" s="160" t="s">
        <v>480</v>
      </c>
      <c r="C39" s="208">
        <v>42909</v>
      </c>
      <c r="D39" s="200" t="s">
        <v>333</v>
      </c>
      <c r="E39" s="195"/>
      <c r="F39" s="195"/>
      <c r="G39" s="161" t="s">
        <v>354</v>
      </c>
      <c r="H39" s="161" t="s">
        <v>360</v>
      </c>
      <c r="I39" s="161" t="s">
        <v>342</v>
      </c>
      <c r="J39" s="161" t="s">
        <v>356</v>
      </c>
      <c r="K39" s="225" t="s">
        <v>481</v>
      </c>
      <c r="L39" s="225"/>
      <c r="M39" s="225"/>
      <c r="N39" s="225"/>
      <c r="O39" s="225"/>
      <c r="P39" s="225"/>
      <c r="Q39" s="225"/>
      <c r="R39" s="225"/>
    </row>
    <row r="40" spans="2:18" hidden="1" x14ac:dyDescent="0.35">
      <c r="B40" s="160" t="s">
        <v>480</v>
      </c>
      <c r="C40" s="208">
        <v>42909</v>
      </c>
      <c r="D40" s="200" t="s">
        <v>333</v>
      </c>
      <c r="E40" s="195"/>
      <c r="F40" s="195"/>
      <c r="G40" s="161" t="s">
        <v>354</v>
      </c>
      <c r="H40" s="161" t="s">
        <v>361</v>
      </c>
      <c r="I40" s="161" t="s">
        <v>343</v>
      </c>
      <c r="J40" s="161" t="s">
        <v>356</v>
      </c>
      <c r="K40" s="225" t="s">
        <v>481</v>
      </c>
      <c r="L40" s="225"/>
      <c r="M40" s="225"/>
      <c r="N40" s="225"/>
      <c r="O40" s="225"/>
      <c r="P40" s="225"/>
      <c r="Q40" s="225"/>
      <c r="R40" s="225"/>
    </row>
    <row r="41" spans="2:18" hidden="1" x14ac:dyDescent="0.35">
      <c r="B41" s="160" t="s">
        <v>480</v>
      </c>
      <c r="C41" s="208">
        <v>42909</v>
      </c>
      <c r="D41" s="200" t="s">
        <v>333</v>
      </c>
      <c r="E41" s="195"/>
      <c r="F41" s="195"/>
      <c r="G41" s="161" t="s">
        <v>354</v>
      </c>
      <c r="H41" s="161" t="s">
        <v>362</v>
      </c>
      <c r="I41" s="161" t="s">
        <v>363</v>
      </c>
      <c r="J41" s="161" t="s">
        <v>356</v>
      </c>
      <c r="K41" s="225" t="s">
        <v>481</v>
      </c>
      <c r="L41" s="225"/>
      <c r="M41" s="225"/>
      <c r="N41" s="225"/>
      <c r="O41" s="225"/>
      <c r="P41" s="225"/>
      <c r="Q41" s="225"/>
      <c r="R41" s="225"/>
    </row>
    <row r="42" spans="2:18" hidden="1" x14ac:dyDescent="0.35">
      <c r="B42" s="160" t="s">
        <v>480</v>
      </c>
      <c r="C42" s="208">
        <v>42909</v>
      </c>
      <c r="D42" s="200" t="s">
        <v>333</v>
      </c>
      <c r="E42" s="195"/>
      <c r="F42" s="195"/>
      <c r="G42" s="161" t="s">
        <v>354</v>
      </c>
      <c r="H42" s="161" t="s">
        <v>364</v>
      </c>
      <c r="I42" s="161" t="s">
        <v>365</v>
      </c>
      <c r="J42" s="161" t="s">
        <v>356</v>
      </c>
      <c r="K42" s="225" t="s">
        <v>481</v>
      </c>
      <c r="L42" s="225"/>
      <c r="M42" s="225"/>
      <c r="N42" s="225"/>
      <c r="O42" s="225"/>
      <c r="P42" s="225"/>
      <c r="Q42" s="225"/>
      <c r="R42" s="225"/>
    </row>
    <row r="43" spans="2:18" hidden="1" x14ac:dyDescent="0.35">
      <c r="B43" s="160" t="s">
        <v>480</v>
      </c>
      <c r="C43" s="208">
        <v>42909</v>
      </c>
      <c r="D43" s="200" t="s">
        <v>333</v>
      </c>
      <c r="E43" s="195"/>
      <c r="F43" s="195"/>
      <c r="G43" s="161" t="s">
        <v>354</v>
      </c>
      <c r="H43" s="161" t="s">
        <v>366</v>
      </c>
      <c r="I43" s="161" t="s">
        <v>345</v>
      </c>
      <c r="J43" s="161" t="s">
        <v>356</v>
      </c>
      <c r="K43" s="225" t="s">
        <v>481</v>
      </c>
      <c r="L43" s="225"/>
      <c r="M43" s="225"/>
      <c r="N43" s="225"/>
      <c r="O43" s="225"/>
      <c r="P43" s="225"/>
      <c r="Q43" s="225"/>
      <c r="R43" s="225"/>
    </row>
    <row r="44" spans="2:18" hidden="1" x14ac:dyDescent="0.35">
      <c r="B44" s="160" t="s">
        <v>480</v>
      </c>
      <c r="C44" s="208">
        <v>42909</v>
      </c>
      <c r="D44" s="200" t="s">
        <v>333</v>
      </c>
      <c r="E44" s="195"/>
      <c r="F44" s="195"/>
      <c r="G44" s="161" t="s">
        <v>354</v>
      </c>
      <c r="H44" s="161" t="s">
        <v>367</v>
      </c>
      <c r="I44" s="161" t="s">
        <v>368</v>
      </c>
      <c r="J44" s="161" t="s">
        <v>356</v>
      </c>
      <c r="K44" s="225" t="s">
        <v>481</v>
      </c>
      <c r="L44" s="225"/>
      <c r="M44" s="225"/>
      <c r="N44" s="225"/>
      <c r="O44" s="225"/>
      <c r="P44" s="225"/>
      <c r="Q44" s="225"/>
      <c r="R44" s="225"/>
    </row>
    <row r="45" spans="2:18" hidden="1" x14ac:dyDescent="0.35">
      <c r="B45" s="195"/>
      <c r="C45" s="208">
        <v>42916</v>
      </c>
      <c r="D45" s="200" t="s">
        <v>333</v>
      </c>
      <c r="E45" s="195"/>
      <c r="F45" s="161"/>
      <c r="G45" s="161" t="s">
        <v>354</v>
      </c>
      <c r="H45" s="161" t="s">
        <v>487</v>
      </c>
      <c r="I45" s="161">
        <v>10</v>
      </c>
      <c r="J45" s="161">
        <v>8</v>
      </c>
      <c r="K45" s="225" t="s">
        <v>510</v>
      </c>
      <c r="L45" s="225"/>
      <c r="M45" s="225"/>
      <c r="N45" s="225"/>
      <c r="O45" s="225"/>
      <c r="P45" s="225"/>
      <c r="Q45" s="225"/>
      <c r="R45" s="225"/>
    </row>
    <row r="46" spans="2:18" hidden="1" x14ac:dyDescent="0.35">
      <c r="B46" s="195"/>
      <c r="C46" s="208">
        <v>42916</v>
      </c>
      <c r="D46" s="200" t="s">
        <v>333</v>
      </c>
      <c r="E46" s="195"/>
      <c r="F46" s="161"/>
      <c r="G46" s="161" t="s">
        <v>354</v>
      </c>
      <c r="H46" s="161" t="s">
        <v>488</v>
      </c>
      <c r="I46" s="161" t="s">
        <v>484</v>
      </c>
      <c r="J46" s="161" t="s">
        <v>228</v>
      </c>
      <c r="K46" s="225" t="s">
        <v>510</v>
      </c>
      <c r="L46" s="225"/>
      <c r="M46" s="225"/>
      <c r="N46" s="225"/>
      <c r="O46" s="225"/>
      <c r="P46" s="225"/>
      <c r="Q46" s="225"/>
      <c r="R46" s="225"/>
    </row>
    <row r="47" spans="2:18" hidden="1" x14ac:dyDescent="0.35">
      <c r="B47" s="195"/>
      <c r="C47" s="208">
        <v>42916</v>
      </c>
      <c r="D47" s="200" t="s">
        <v>333</v>
      </c>
      <c r="E47" s="195"/>
      <c r="F47" s="161"/>
      <c r="G47" s="161" t="s">
        <v>354</v>
      </c>
      <c r="H47" s="161" t="s">
        <v>373</v>
      </c>
      <c r="I47" s="161" t="s">
        <v>485</v>
      </c>
      <c r="J47" s="161" t="s">
        <v>231</v>
      </c>
      <c r="K47" s="225" t="s">
        <v>510</v>
      </c>
      <c r="L47" s="225"/>
      <c r="M47" s="225"/>
      <c r="N47" s="225"/>
      <c r="O47" s="225"/>
      <c r="P47" s="225"/>
      <c r="Q47" s="225"/>
      <c r="R47" s="225"/>
    </row>
    <row r="48" spans="2:18" hidden="1" x14ac:dyDescent="0.35">
      <c r="B48" s="195"/>
      <c r="C48" s="208">
        <v>42916</v>
      </c>
      <c r="D48" s="200" t="s">
        <v>333</v>
      </c>
      <c r="E48" s="195"/>
      <c r="F48" s="161"/>
      <c r="G48" s="161" t="s">
        <v>354</v>
      </c>
      <c r="H48" s="161" t="s">
        <v>489</v>
      </c>
      <c r="I48" s="161" t="s">
        <v>486</v>
      </c>
      <c r="J48" s="161" t="s">
        <v>356</v>
      </c>
      <c r="K48" s="225" t="s">
        <v>510</v>
      </c>
      <c r="L48" s="225"/>
      <c r="M48" s="225"/>
      <c r="N48" s="225"/>
      <c r="O48" s="225"/>
      <c r="P48" s="225"/>
      <c r="Q48" s="225"/>
      <c r="R48" s="225"/>
    </row>
    <row r="49" spans="2:18" hidden="1" x14ac:dyDescent="0.35">
      <c r="B49" s="195"/>
      <c r="C49" s="208">
        <v>42916</v>
      </c>
      <c r="D49" s="200" t="s">
        <v>333</v>
      </c>
      <c r="E49" s="195"/>
      <c r="F49" s="161"/>
      <c r="G49" s="161" t="s">
        <v>354</v>
      </c>
      <c r="H49" s="161" t="s">
        <v>490</v>
      </c>
      <c r="I49" s="161">
        <v>2</v>
      </c>
      <c r="J49" s="161" t="s">
        <v>356</v>
      </c>
      <c r="K49" s="225" t="s">
        <v>510</v>
      </c>
      <c r="L49" s="225"/>
      <c r="M49" s="225"/>
      <c r="N49" s="225"/>
      <c r="O49" s="225"/>
      <c r="P49" s="225"/>
      <c r="Q49" s="225"/>
      <c r="R49" s="225"/>
    </row>
    <row r="50" spans="2:18" hidden="1" x14ac:dyDescent="0.35">
      <c r="B50" s="195"/>
      <c r="C50" s="208">
        <v>42916</v>
      </c>
      <c r="D50" s="200" t="s">
        <v>333</v>
      </c>
      <c r="E50" s="195"/>
      <c r="F50" s="161"/>
      <c r="G50" s="161" t="s">
        <v>354</v>
      </c>
      <c r="H50" s="161" t="s">
        <v>491</v>
      </c>
      <c r="I50" s="161">
        <v>5</v>
      </c>
      <c r="J50" s="161" t="s">
        <v>356</v>
      </c>
      <c r="K50" s="225" t="s">
        <v>510</v>
      </c>
      <c r="L50" s="225"/>
      <c r="M50" s="225"/>
      <c r="N50" s="225"/>
      <c r="O50" s="225"/>
      <c r="P50" s="225"/>
      <c r="Q50" s="225"/>
      <c r="R50" s="225"/>
    </row>
    <row r="51" spans="2:18" hidden="1" x14ac:dyDescent="0.35">
      <c r="B51" s="195"/>
      <c r="C51" s="208">
        <v>42916</v>
      </c>
      <c r="D51" s="200" t="s">
        <v>333</v>
      </c>
      <c r="E51" s="195"/>
      <c r="F51" s="161"/>
      <c r="G51" s="161" t="s">
        <v>354</v>
      </c>
      <c r="H51" s="161" t="s">
        <v>492</v>
      </c>
      <c r="I51" s="161" t="s">
        <v>493</v>
      </c>
      <c r="J51" s="161" t="s">
        <v>356</v>
      </c>
      <c r="K51" s="225" t="s">
        <v>510</v>
      </c>
      <c r="L51" s="225"/>
      <c r="M51" s="225"/>
      <c r="N51" s="225"/>
      <c r="O51" s="225"/>
      <c r="P51" s="225"/>
      <c r="Q51" s="225"/>
      <c r="R51" s="225"/>
    </row>
    <row r="52" spans="2:18" hidden="1" x14ac:dyDescent="0.35">
      <c r="B52" s="195"/>
      <c r="C52" s="208">
        <v>42916</v>
      </c>
      <c r="D52" s="200" t="s">
        <v>333</v>
      </c>
      <c r="E52" s="195"/>
      <c r="F52" s="161"/>
      <c r="G52" s="161" t="s">
        <v>354</v>
      </c>
      <c r="H52" s="161" t="s">
        <v>494</v>
      </c>
      <c r="I52" s="161" t="s">
        <v>495</v>
      </c>
      <c r="J52" s="161" t="s">
        <v>356</v>
      </c>
      <c r="K52" s="225" t="s">
        <v>510</v>
      </c>
      <c r="L52" s="225"/>
      <c r="M52" s="225"/>
      <c r="N52" s="225"/>
      <c r="O52" s="225"/>
      <c r="P52" s="225"/>
      <c r="Q52" s="225"/>
      <c r="R52" s="225"/>
    </row>
    <row r="53" spans="2:18" hidden="1" x14ac:dyDescent="0.35">
      <c r="B53" s="195"/>
      <c r="C53" s="208">
        <v>42916</v>
      </c>
      <c r="D53" s="200" t="s">
        <v>333</v>
      </c>
      <c r="E53" s="195"/>
      <c r="F53" s="161"/>
      <c r="G53" s="161" t="s">
        <v>354</v>
      </c>
      <c r="H53" s="161" t="s">
        <v>496</v>
      </c>
      <c r="I53" s="161" t="s">
        <v>356</v>
      </c>
      <c r="J53" s="161" t="s">
        <v>210</v>
      </c>
      <c r="K53" s="225" t="s">
        <v>510</v>
      </c>
      <c r="L53" s="225"/>
      <c r="M53" s="225"/>
      <c r="N53" s="225"/>
      <c r="O53" s="225"/>
      <c r="P53" s="225"/>
      <c r="Q53" s="225"/>
      <c r="R53" s="225"/>
    </row>
    <row r="54" spans="2:18" hidden="1" x14ac:dyDescent="0.35">
      <c r="B54" s="195"/>
      <c r="C54" s="208">
        <v>42934</v>
      </c>
      <c r="D54" s="200" t="s">
        <v>333</v>
      </c>
      <c r="E54" s="195"/>
      <c r="F54" s="161"/>
      <c r="G54" s="161" t="s">
        <v>354</v>
      </c>
      <c r="H54" s="161" t="s">
        <v>515</v>
      </c>
      <c r="I54" s="209" t="s">
        <v>517</v>
      </c>
      <c r="J54" s="209" t="s">
        <v>516</v>
      </c>
      <c r="K54" s="225" t="s">
        <v>510</v>
      </c>
      <c r="L54" s="225"/>
      <c r="M54" s="225"/>
      <c r="N54" s="225"/>
      <c r="O54" s="225"/>
      <c r="P54" s="225"/>
      <c r="Q54" s="225"/>
      <c r="R54" s="225"/>
    </row>
    <row r="55" spans="2:18" hidden="1" x14ac:dyDescent="0.35">
      <c r="B55" s="160" t="s">
        <v>480</v>
      </c>
      <c r="C55" s="208">
        <v>42909</v>
      </c>
      <c r="D55" s="200" t="s">
        <v>333</v>
      </c>
      <c r="E55" s="195"/>
      <c r="F55" s="195"/>
      <c r="G55" s="161" t="s">
        <v>281</v>
      </c>
      <c r="H55" s="161" t="s">
        <v>369</v>
      </c>
      <c r="I55" s="161" t="s">
        <v>338</v>
      </c>
      <c r="J55" s="161" t="s">
        <v>356</v>
      </c>
      <c r="K55" s="225" t="s">
        <v>481</v>
      </c>
      <c r="L55" s="225"/>
      <c r="M55" s="225"/>
      <c r="N55" s="225"/>
      <c r="O55" s="225"/>
      <c r="P55" s="225"/>
      <c r="Q55" s="225"/>
      <c r="R55" s="225"/>
    </row>
    <row r="56" spans="2:18" hidden="1" x14ac:dyDescent="0.35">
      <c r="B56" s="160" t="s">
        <v>480</v>
      </c>
      <c r="C56" s="208">
        <v>42909</v>
      </c>
      <c r="D56" s="200" t="s">
        <v>333</v>
      </c>
      <c r="E56" s="195"/>
      <c r="F56" s="195"/>
      <c r="G56" s="161" t="s">
        <v>281</v>
      </c>
      <c r="H56" s="161" t="s">
        <v>370</v>
      </c>
      <c r="I56" s="161" t="s">
        <v>339</v>
      </c>
      <c r="J56" s="161" t="s">
        <v>356</v>
      </c>
      <c r="K56" s="225" t="s">
        <v>481</v>
      </c>
      <c r="L56" s="225"/>
      <c r="M56" s="225"/>
      <c r="N56" s="225"/>
      <c r="O56" s="225"/>
      <c r="P56" s="225"/>
      <c r="Q56" s="225"/>
      <c r="R56" s="225"/>
    </row>
    <row r="57" spans="2:18" hidden="1" x14ac:dyDescent="0.35">
      <c r="B57" s="160" t="s">
        <v>480</v>
      </c>
      <c r="C57" s="208">
        <v>42909</v>
      </c>
      <c r="D57" s="200" t="s">
        <v>333</v>
      </c>
      <c r="E57" s="195"/>
      <c r="F57" s="195"/>
      <c r="G57" s="161" t="s">
        <v>281</v>
      </c>
      <c r="H57" s="161" t="s">
        <v>371</v>
      </c>
      <c r="I57" s="161" t="s">
        <v>340</v>
      </c>
      <c r="J57" s="161" t="s">
        <v>356</v>
      </c>
      <c r="K57" s="225" t="s">
        <v>481</v>
      </c>
      <c r="L57" s="225"/>
      <c r="M57" s="225"/>
      <c r="N57" s="225"/>
      <c r="O57" s="225"/>
      <c r="P57" s="225"/>
      <c r="Q57" s="225"/>
      <c r="R57" s="225"/>
    </row>
    <row r="58" spans="2:18" hidden="1" x14ac:dyDescent="0.35">
      <c r="B58" s="160" t="s">
        <v>480</v>
      </c>
      <c r="C58" s="208">
        <v>42909</v>
      </c>
      <c r="D58" s="200" t="s">
        <v>333</v>
      </c>
      <c r="E58" s="195"/>
      <c r="F58" s="195"/>
      <c r="G58" s="161" t="s">
        <v>281</v>
      </c>
      <c r="H58" s="161" t="s">
        <v>372</v>
      </c>
      <c r="I58" s="161" t="s">
        <v>341</v>
      </c>
      <c r="J58" s="161" t="s">
        <v>356</v>
      </c>
      <c r="K58" s="225" t="s">
        <v>481</v>
      </c>
      <c r="L58" s="225"/>
      <c r="M58" s="225"/>
      <c r="N58" s="225"/>
      <c r="O58" s="225"/>
      <c r="P58" s="225"/>
      <c r="Q58" s="225"/>
      <c r="R58" s="225"/>
    </row>
    <row r="59" spans="2:18" hidden="1" x14ac:dyDescent="0.35">
      <c r="B59" s="160" t="s">
        <v>480</v>
      </c>
      <c r="C59" s="208">
        <v>42909</v>
      </c>
      <c r="D59" s="200" t="s">
        <v>333</v>
      </c>
      <c r="E59" s="195"/>
      <c r="F59" s="195"/>
      <c r="G59" s="161" t="s">
        <v>281</v>
      </c>
      <c r="H59" s="161" t="s">
        <v>373</v>
      </c>
      <c r="I59" s="161" t="s">
        <v>342</v>
      </c>
      <c r="J59" s="161" t="s">
        <v>356</v>
      </c>
      <c r="K59" s="225" t="s">
        <v>481</v>
      </c>
      <c r="L59" s="225"/>
      <c r="M59" s="225"/>
      <c r="N59" s="225"/>
      <c r="O59" s="225"/>
      <c r="P59" s="225"/>
      <c r="Q59" s="225"/>
      <c r="R59" s="225"/>
    </row>
    <row r="60" spans="2:18" hidden="1" x14ac:dyDescent="0.35">
      <c r="B60" s="160" t="s">
        <v>480</v>
      </c>
      <c r="C60" s="208">
        <v>42909</v>
      </c>
      <c r="D60" s="200" t="s">
        <v>333</v>
      </c>
      <c r="E60" s="195"/>
      <c r="F60" s="195"/>
      <c r="G60" s="161" t="s">
        <v>281</v>
      </c>
      <c r="H60" s="161" t="s">
        <v>374</v>
      </c>
      <c r="I60" s="161" t="s">
        <v>343</v>
      </c>
      <c r="J60" s="161" t="s">
        <v>356</v>
      </c>
      <c r="K60" s="225" t="s">
        <v>481</v>
      </c>
      <c r="L60" s="225"/>
      <c r="M60" s="225"/>
      <c r="N60" s="225"/>
      <c r="O60" s="225"/>
      <c r="P60" s="225"/>
      <c r="Q60" s="225"/>
      <c r="R60" s="225"/>
    </row>
    <row r="61" spans="2:18" hidden="1" x14ac:dyDescent="0.35">
      <c r="B61" s="160" t="s">
        <v>480</v>
      </c>
      <c r="C61" s="208">
        <v>42909</v>
      </c>
      <c r="D61" s="200" t="s">
        <v>333</v>
      </c>
      <c r="E61" s="195"/>
      <c r="F61" s="195"/>
      <c r="G61" s="161" t="s">
        <v>354</v>
      </c>
      <c r="H61" s="161" t="s">
        <v>375</v>
      </c>
      <c r="I61" s="161" t="s">
        <v>376</v>
      </c>
      <c r="J61" s="161" t="s">
        <v>356</v>
      </c>
      <c r="K61" s="225" t="s">
        <v>481</v>
      </c>
      <c r="L61" s="225"/>
      <c r="M61" s="225"/>
      <c r="N61" s="225"/>
      <c r="O61" s="225"/>
      <c r="P61" s="225"/>
      <c r="Q61" s="225"/>
      <c r="R61" s="225"/>
    </row>
    <row r="62" spans="2:18" hidden="1" x14ac:dyDescent="0.35">
      <c r="B62" s="160" t="s">
        <v>480</v>
      </c>
      <c r="C62" s="208">
        <v>42909</v>
      </c>
      <c r="D62" s="200" t="s">
        <v>333</v>
      </c>
      <c r="E62" s="195"/>
      <c r="F62" s="195"/>
      <c r="G62" s="161" t="s">
        <v>354</v>
      </c>
      <c r="H62" s="161" t="s">
        <v>377</v>
      </c>
      <c r="I62" s="161" t="s">
        <v>378</v>
      </c>
      <c r="J62" s="161" t="s">
        <v>356</v>
      </c>
      <c r="K62" s="225" t="s">
        <v>481</v>
      </c>
      <c r="L62" s="225"/>
      <c r="M62" s="225"/>
      <c r="N62" s="225"/>
      <c r="O62" s="225"/>
      <c r="P62" s="225"/>
      <c r="Q62" s="225"/>
      <c r="R62" s="225"/>
    </row>
    <row r="63" spans="2:18" hidden="1" x14ac:dyDescent="0.35">
      <c r="B63" s="160" t="s">
        <v>480</v>
      </c>
      <c r="C63" s="208">
        <v>42909</v>
      </c>
      <c r="D63" s="200" t="s">
        <v>333</v>
      </c>
      <c r="E63" s="195"/>
      <c r="F63" s="195"/>
      <c r="G63" s="161" t="s">
        <v>354</v>
      </c>
      <c r="H63" s="161" t="s">
        <v>379</v>
      </c>
      <c r="I63" s="161" t="s">
        <v>380</v>
      </c>
      <c r="J63" s="161" t="s">
        <v>356</v>
      </c>
      <c r="K63" s="225" t="s">
        <v>481</v>
      </c>
      <c r="L63" s="225"/>
      <c r="M63" s="225"/>
      <c r="N63" s="225"/>
      <c r="O63" s="225"/>
      <c r="P63" s="225"/>
      <c r="Q63" s="225"/>
      <c r="R63" s="225"/>
    </row>
    <row r="64" spans="2:18" hidden="1" x14ac:dyDescent="0.35">
      <c r="B64" s="160" t="s">
        <v>480</v>
      </c>
      <c r="C64" s="208">
        <v>42909</v>
      </c>
      <c r="D64" s="200" t="s">
        <v>333</v>
      </c>
      <c r="E64" s="195"/>
      <c r="F64" s="195"/>
      <c r="G64" s="161" t="s">
        <v>281</v>
      </c>
      <c r="H64" s="161" t="s">
        <v>381</v>
      </c>
      <c r="I64" s="161" t="s">
        <v>382</v>
      </c>
      <c r="J64" s="161" t="s">
        <v>356</v>
      </c>
      <c r="K64" s="225" t="s">
        <v>481</v>
      </c>
      <c r="L64" s="225"/>
      <c r="M64" s="225"/>
      <c r="N64" s="225"/>
      <c r="O64" s="225"/>
      <c r="P64" s="225"/>
      <c r="Q64" s="225"/>
      <c r="R64" s="225"/>
    </row>
    <row r="65" spans="2:18" hidden="1" x14ac:dyDescent="0.35">
      <c r="B65" s="160" t="s">
        <v>480</v>
      </c>
      <c r="C65" s="208">
        <v>42909</v>
      </c>
      <c r="D65" s="200" t="s">
        <v>333</v>
      </c>
      <c r="E65" s="195"/>
      <c r="F65" s="195"/>
      <c r="G65" s="161" t="s">
        <v>281</v>
      </c>
      <c r="H65" s="161" t="s">
        <v>383</v>
      </c>
      <c r="I65" s="161" t="s">
        <v>384</v>
      </c>
      <c r="J65" s="161" t="s">
        <v>356</v>
      </c>
      <c r="K65" s="225" t="s">
        <v>481</v>
      </c>
      <c r="L65" s="225"/>
      <c r="M65" s="225"/>
      <c r="N65" s="225"/>
      <c r="O65" s="225"/>
      <c r="P65" s="225"/>
      <c r="Q65" s="225"/>
      <c r="R65" s="225"/>
    </row>
    <row r="66" spans="2:18" hidden="1" x14ac:dyDescent="0.35">
      <c r="B66" s="160" t="s">
        <v>480</v>
      </c>
      <c r="C66" s="208">
        <v>42909</v>
      </c>
      <c r="D66" s="200" t="s">
        <v>333</v>
      </c>
      <c r="E66" s="195"/>
      <c r="F66" s="195"/>
      <c r="G66" s="161" t="s">
        <v>281</v>
      </c>
      <c r="H66" s="161" t="s">
        <v>385</v>
      </c>
      <c r="I66" s="161" t="s">
        <v>386</v>
      </c>
      <c r="J66" s="161" t="s">
        <v>356</v>
      </c>
      <c r="K66" s="225" t="s">
        <v>481</v>
      </c>
      <c r="L66" s="225"/>
      <c r="M66" s="225"/>
      <c r="N66" s="225"/>
      <c r="O66" s="225"/>
      <c r="P66" s="225"/>
      <c r="Q66" s="225"/>
      <c r="R66" s="225"/>
    </row>
    <row r="67" spans="2:18" hidden="1" x14ac:dyDescent="0.35">
      <c r="B67" s="160" t="s">
        <v>480</v>
      </c>
      <c r="C67" s="208">
        <v>42909</v>
      </c>
      <c r="D67" s="200" t="s">
        <v>333</v>
      </c>
      <c r="E67" s="195"/>
      <c r="F67" s="195"/>
      <c r="G67" s="161" t="s">
        <v>281</v>
      </c>
      <c r="H67" s="161" t="s">
        <v>387</v>
      </c>
      <c r="I67" s="161" t="s">
        <v>388</v>
      </c>
      <c r="J67" s="161" t="s">
        <v>356</v>
      </c>
      <c r="K67" s="225" t="s">
        <v>481</v>
      </c>
      <c r="L67" s="225"/>
      <c r="M67" s="225"/>
      <c r="N67" s="225"/>
      <c r="O67" s="225"/>
      <c r="P67" s="225"/>
      <c r="Q67" s="225"/>
      <c r="R67" s="225"/>
    </row>
    <row r="68" spans="2:18" hidden="1" x14ac:dyDescent="0.35">
      <c r="B68" s="160" t="s">
        <v>480</v>
      </c>
      <c r="C68" s="208">
        <v>42909</v>
      </c>
      <c r="D68" s="200" t="s">
        <v>333</v>
      </c>
      <c r="E68" s="195"/>
      <c r="F68" s="195"/>
      <c r="G68" s="161" t="s">
        <v>281</v>
      </c>
      <c r="H68" s="161" t="s">
        <v>389</v>
      </c>
      <c r="I68" s="161" t="s">
        <v>390</v>
      </c>
      <c r="J68" s="161" t="s">
        <v>356</v>
      </c>
      <c r="K68" s="225" t="s">
        <v>481</v>
      </c>
      <c r="L68" s="225"/>
      <c r="M68" s="225"/>
      <c r="N68" s="225"/>
      <c r="O68" s="225"/>
      <c r="P68" s="225"/>
      <c r="Q68" s="225"/>
      <c r="R68" s="225"/>
    </row>
    <row r="69" spans="2:18" hidden="1" x14ac:dyDescent="0.35">
      <c r="B69" s="160" t="s">
        <v>480</v>
      </c>
      <c r="C69" s="208">
        <v>42909</v>
      </c>
      <c r="D69" s="200" t="s">
        <v>333</v>
      </c>
      <c r="E69" s="195"/>
      <c r="F69" s="195"/>
      <c r="G69" s="161" t="s">
        <v>281</v>
      </c>
      <c r="H69" s="161" t="s">
        <v>391</v>
      </c>
      <c r="I69" s="161" t="s">
        <v>345</v>
      </c>
      <c r="J69" s="161" t="s">
        <v>356</v>
      </c>
      <c r="K69" s="225" t="s">
        <v>481</v>
      </c>
      <c r="L69" s="225"/>
      <c r="M69" s="225"/>
      <c r="N69" s="225"/>
      <c r="O69" s="225"/>
      <c r="P69" s="225"/>
      <c r="Q69" s="225"/>
      <c r="R69" s="225"/>
    </row>
    <row r="70" spans="2:18" hidden="1" x14ac:dyDescent="0.35">
      <c r="B70" s="160" t="s">
        <v>480</v>
      </c>
      <c r="C70" s="208">
        <v>42909</v>
      </c>
      <c r="D70" s="200" t="s">
        <v>333</v>
      </c>
      <c r="E70" s="195"/>
      <c r="F70" s="195"/>
      <c r="G70" s="161" t="s">
        <v>281</v>
      </c>
      <c r="H70" s="161" t="s">
        <v>392</v>
      </c>
      <c r="I70" s="161" t="s">
        <v>393</v>
      </c>
      <c r="J70" s="161" t="s">
        <v>356</v>
      </c>
      <c r="K70" s="225" t="s">
        <v>481</v>
      </c>
      <c r="L70" s="225"/>
      <c r="M70" s="225"/>
      <c r="N70" s="225"/>
      <c r="O70" s="225"/>
      <c r="P70" s="225"/>
      <c r="Q70" s="225"/>
      <c r="R70" s="225"/>
    </row>
    <row r="71" spans="2:18" hidden="1" x14ac:dyDescent="0.35">
      <c r="B71" s="195"/>
      <c r="C71" s="208">
        <v>42916</v>
      </c>
      <c r="D71" s="200" t="s">
        <v>333</v>
      </c>
      <c r="E71" s="195"/>
      <c r="F71" s="161"/>
      <c r="G71" s="161" t="s">
        <v>281</v>
      </c>
      <c r="H71" s="161" t="s">
        <v>497</v>
      </c>
      <c r="I71" s="161" t="s">
        <v>486</v>
      </c>
      <c r="J71" s="161" t="s">
        <v>356</v>
      </c>
      <c r="K71" s="225" t="s">
        <v>510</v>
      </c>
      <c r="L71" s="225"/>
      <c r="M71" s="225"/>
      <c r="N71" s="225"/>
      <c r="O71" s="225"/>
      <c r="P71" s="225"/>
      <c r="Q71" s="225"/>
      <c r="R71" s="225"/>
    </row>
    <row r="72" spans="2:18" hidden="1" x14ac:dyDescent="0.35">
      <c r="B72" s="195"/>
      <c r="C72" s="208">
        <v>42916</v>
      </c>
      <c r="D72" s="200" t="s">
        <v>333</v>
      </c>
      <c r="E72" s="195"/>
      <c r="F72" s="161"/>
      <c r="G72" s="161" t="s">
        <v>281</v>
      </c>
      <c r="H72" s="161" t="s">
        <v>498</v>
      </c>
      <c r="I72" s="161">
        <v>2</v>
      </c>
      <c r="J72" s="161" t="s">
        <v>356</v>
      </c>
      <c r="K72" s="225" t="s">
        <v>510</v>
      </c>
      <c r="L72" s="225"/>
      <c r="M72" s="225"/>
      <c r="N72" s="225"/>
      <c r="O72" s="225"/>
      <c r="P72" s="225"/>
      <c r="Q72" s="225"/>
      <c r="R72" s="225"/>
    </row>
    <row r="73" spans="2:18" hidden="1" x14ac:dyDescent="0.35">
      <c r="B73" s="195"/>
      <c r="C73" s="208">
        <v>42916</v>
      </c>
      <c r="D73" s="200" t="s">
        <v>333</v>
      </c>
      <c r="E73" s="195"/>
      <c r="F73" s="161"/>
      <c r="G73" s="161" t="s">
        <v>281</v>
      </c>
      <c r="H73" s="161" t="s">
        <v>499</v>
      </c>
      <c r="I73" s="161">
        <v>5</v>
      </c>
      <c r="J73" s="161" t="s">
        <v>356</v>
      </c>
      <c r="K73" s="225" t="s">
        <v>510</v>
      </c>
      <c r="L73" s="225"/>
      <c r="M73" s="225"/>
      <c r="N73" s="225"/>
      <c r="O73" s="225"/>
      <c r="P73" s="225"/>
      <c r="Q73" s="225"/>
      <c r="R73" s="225"/>
    </row>
    <row r="74" spans="2:18" hidden="1" x14ac:dyDescent="0.35">
      <c r="B74" s="195"/>
      <c r="C74" s="208">
        <v>42916</v>
      </c>
      <c r="D74" s="200" t="s">
        <v>333</v>
      </c>
      <c r="E74" s="195"/>
      <c r="F74" s="161"/>
      <c r="G74" s="161" t="s">
        <v>281</v>
      </c>
      <c r="H74" s="161" t="s">
        <v>500</v>
      </c>
      <c r="I74" s="161" t="s">
        <v>501</v>
      </c>
      <c r="J74" s="161" t="s">
        <v>356</v>
      </c>
      <c r="K74" s="225" t="s">
        <v>510</v>
      </c>
      <c r="L74" s="225"/>
      <c r="M74" s="225"/>
      <c r="N74" s="225"/>
      <c r="O74" s="225"/>
      <c r="P74" s="225"/>
      <c r="Q74" s="225"/>
      <c r="R74" s="225"/>
    </row>
    <row r="75" spans="2:18" hidden="1" x14ac:dyDescent="0.35">
      <c r="B75" s="195"/>
      <c r="C75" s="208">
        <v>42916</v>
      </c>
      <c r="D75" s="200" t="s">
        <v>333</v>
      </c>
      <c r="E75" s="195"/>
      <c r="F75" s="161"/>
      <c r="G75" s="161" t="s">
        <v>281</v>
      </c>
      <c r="H75" s="161" t="s">
        <v>502</v>
      </c>
      <c r="I75" s="161" t="s">
        <v>503</v>
      </c>
      <c r="J75" s="161" t="s">
        <v>356</v>
      </c>
      <c r="K75" s="225" t="s">
        <v>510</v>
      </c>
      <c r="L75" s="225"/>
      <c r="M75" s="225"/>
      <c r="N75" s="225"/>
      <c r="O75" s="225"/>
      <c r="P75" s="225"/>
      <c r="Q75" s="225"/>
      <c r="R75" s="225"/>
    </row>
    <row r="76" spans="2:18" hidden="1" x14ac:dyDescent="0.35">
      <c r="B76" s="195"/>
      <c r="C76" s="208">
        <v>42916</v>
      </c>
      <c r="D76" s="200" t="s">
        <v>333</v>
      </c>
      <c r="E76" s="195"/>
      <c r="F76" s="161"/>
      <c r="G76" s="161" t="s">
        <v>281</v>
      </c>
      <c r="H76" s="161" t="s">
        <v>504</v>
      </c>
      <c r="I76" s="161" t="s">
        <v>356</v>
      </c>
      <c r="J76" s="161" t="s">
        <v>210</v>
      </c>
      <c r="K76" s="225" t="s">
        <v>510</v>
      </c>
      <c r="L76" s="225"/>
      <c r="M76" s="225"/>
      <c r="N76" s="225"/>
      <c r="O76" s="225"/>
      <c r="P76" s="225"/>
      <c r="Q76" s="225"/>
      <c r="R76" s="225"/>
    </row>
    <row r="77" spans="2:18" hidden="1" x14ac:dyDescent="0.35">
      <c r="B77" s="195"/>
      <c r="C77" s="208">
        <v>42934</v>
      </c>
      <c r="D77" s="200" t="s">
        <v>333</v>
      </c>
      <c r="E77" s="195"/>
      <c r="F77" s="161"/>
      <c r="G77" s="161" t="s">
        <v>281</v>
      </c>
      <c r="H77" s="161" t="s">
        <v>518</v>
      </c>
      <c r="I77" s="209" t="s">
        <v>520</v>
      </c>
      <c r="J77" s="209" t="s">
        <v>519</v>
      </c>
      <c r="K77" s="225" t="s">
        <v>510</v>
      </c>
      <c r="L77" s="225"/>
      <c r="M77" s="225"/>
      <c r="N77" s="225"/>
      <c r="O77" s="225"/>
      <c r="P77" s="225"/>
      <c r="Q77" s="225"/>
      <c r="R77" s="225"/>
    </row>
    <row r="78" spans="2:18" hidden="1" x14ac:dyDescent="0.35">
      <c r="B78" s="195"/>
      <c r="C78" s="208">
        <v>42916</v>
      </c>
      <c r="D78" s="200" t="s">
        <v>333</v>
      </c>
      <c r="E78" s="195"/>
      <c r="F78" s="161"/>
      <c r="G78" s="161" t="s">
        <v>281</v>
      </c>
      <c r="H78" s="161" t="s">
        <v>505</v>
      </c>
      <c r="I78" s="161">
        <v>10</v>
      </c>
      <c r="J78" s="161">
        <v>8</v>
      </c>
      <c r="K78" s="225" t="s">
        <v>510</v>
      </c>
      <c r="L78" s="225"/>
      <c r="M78" s="225"/>
      <c r="N78" s="225"/>
      <c r="O78" s="225"/>
      <c r="P78" s="225"/>
      <c r="Q78" s="225"/>
      <c r="R78" s="225"/>
    </row>
    <row r="79" spans="2:18" hidden="1" x14ac:dyDescent="0.35">
      <c r="B79" s="195"/>
      <c r="C79" s="208">
        <v>42916</v>
      </c>
      <c r="D79" s="200" t="s">
        <v>333</v>
      </c>
      <c r="E79" s="195"/>
      <c r="F79" s="161"/>
      <c r="G79" s="161" t="s">
        <v>281</v>
      </c>
      <c r="H79" s="161" t="s">
        <v>506</v>
      </c>
      <c r="I79" s="161" t="s">
        <v>485</v>
      </c>
      <c r="J79" s="161" t="s">
        <v>231</v>
      </c>
      <c r="K79" s="225" t="s">
        <v>510</v>
      </c>
      <c r="L79" s="225"/>
      <c r="M79" s="225"/>
      <c r="N79" s="225"/>
      <c r="O79" s="225"/>
      <c r="P79" s="225"/>
      <c r="Q79" s="225"/>
      <c r="R79" s="225"/>
    </row>
    <row r="80" spans="2:18" hidden="1" x14ac:dyDescent="0.35">
      <c r="B80" s="160" t="s">
        <v>480</v>
      </c>
      <c r="C80" s="208">
        <v>42909</v>
      </c>
      <c r="D80" s="200" t="s">
        <v>333</v>
      </c>
      <c r="E80" s="195"/>
      <c r="F80" s="195"/>
      <c r="G80" s="161" t="s">
        <v>394</v>
      </c>
      <c r="H80" s="161" t="s">
        <v>395</v>
      </c>
      <c r="I80" s="161" t="s">
        <v>191</v>
      </c>
      <c r="J80" s="161" t="s">
        <v>356</v>
      </c>
      <c r="K80" s="225" t="s">
        <v>481</v>
      </c>
      <c r="L80" s="225"/>
      <c r="M80" s="225"/>
      <c r="N80" s="225"/>
      <c r="O80" s="225"/>
      <c r="P80" s="225"/>
      <c r="Q80" s="225"/>
      <c r="R80" s="225"/>
    </row>
    <row r="81" spans="2:18" hidden="1" x14ac:dyDescent="0.35">
      <c r="B81" s="160" t="s">
        <v>480</v>
      </c>
      <c r="C81" s="208">
        <v>42909</v>
      </c>
      <c r="D81" s="200" t="s">
        <v>333</v>
      </c>
      <c r="E81" s="195"/>
      <c r="F81" s="195"/>
      <c r="G81" s="161" t="s">
        <v>394</v>
      </c>
      <c r="H81" s="161" t="s">
        <v>396</v>
      </c>
      <c r="I81" s="161" t="s">
        <v>346</v>
      </c>
      <c r="J81" s="161" t="s">
        <v>356</v>
      </c>
      <c r="K81" s="225" t="s">
        <v>481</v>
      </c>
      <c r="L81" s="225"/>
      <c r="M81" s="225"/>
      <c r="N81" s="225"/>
      <c r="O81" s="225"/>
      <c r="P81" s="225"/>
      <c r="Q81" s="225"/>
      <c r="R81" s="225"/>
    </row>
    <row r="82" spans="2:18" hidden="1" x14ac:dyDescent="0.35">
      <c r="B82" s="160" t="s">
        <v>480</v>
      </c>
      <c r="C82" s="208">
        <v>42909</v>
      </c>
      <c r="D82" s="200" t="s">
        <v>333</v>
      </c>
      <c r="E82" s="195"/>
      <c r="F82" s="195"/>
      <c r="G82" s="161" t="s">
        <v>394</v>
      </c>
      <c r="H82" s="161" t="s">
        <v>397</v>
      </c>
      <c r="I82" s="161" t="s">
        <v>345</v>
      </c>
      <c r="J82" s="161" t="s">
        <v>356</v>
      </c>
      <c r="K82" s="225" t="s">
        <v>481</v>
      </c>
      <c r="L82" s="225"/>
      <c r="M82" s="225"/>
      <c r="N82" s="225"/>
      <c r="O82" s="225"/>
      <c r="P82" s="225"/>
      <c r="Q82" s="225"/>
      <c r="R82" s="225"/>
    </row>
    <row r="83" spans="2:18" hidden="1" x14ac:dyDescent="0.35">
      <c r="B83" s="160" t="s">
        <v>480</v>
      </c>
      <c r="C83" s="208">
        <v>42909</v>
      </c>
      <c r="D83" s="200" t="s">
        <v>333</v>
      </c>
      <c r="E83" s="195"/>
      <c r="F83" s="195"/>
      <c r="G83" s="161" t="s">
        <v>394</v>
      </c>
      <c r="H83" s="161" t="s">
        <v>398</v>
      </c>
      <c r="I83" s="161" t="s">
        <v>347</v>
      </c>
      <c r="J83" s="161" t="s">
        <v>356</v>
      </c>
      <c r="K83" s="225" t="s">
        <v>481</v>
      </c>
      <c r="L83" s="225"/>
      <c r="M83" s="225"/>
      <c r="N83" s="225"/>
      <c r="O83" s="225"/>
      <c r="P83" s="225"/>
      <c r="Q83" s="225"/>
      <c r="R83" s="225"/>
    </row>
    <row r="84" spans="2:18" hidden="1" x14ac:dyDescent="0.35">
      <c r="B84" s="160" t="s">
        <v>480</v>
      </c>
      <c r="C84" s="208">
        <v>42909</v>
      </c>
      <c r="D84" s="200" t="s">
        <v>333</v>
      </c>
      <c r="E84" s="195"/>
      <c r="F84" s="195"/>
      <c r="G84" s="161" t="s">
        <v>394</v>
      </c>
      <c r="H84" s="161" t="s">
        <v>399</v>
      </c>
      <c r="I84" s="161" t="s">
        <v>348</v>
      </c>
      <c r="J84" s="161" t="s">
        <v>356</v>
      </c>
      <c r="K84" s="225" t="s">
        <v>481</v>
      </c>
      <c r="L84" s="225"/>
      <c r="M84" s="225"/>
      <c r="N84" s="225"/>
      <c r="O84" s="225"/>
      <c r="P84" s="225"/>
      <c r="Q84" s="225"/>
      <c r="R84" s="225"/>
    </row>
    <row r="85" spans="2:18" hidden="1" x14ac:dyDescent="0.35">
      <c r="B85" s="160" t="s">
        <v>480</v>
      </c>
      <c r="C85" s="208">
        <v>42909</v>
      </c>
      <c r="D85" s="200" t="s">
        <v>333</v>
      </c>
      <c r="E85" s="195"/>
      <c r="F85" s="195"/>
      <c r="G85" s="161" t="s">
        <v>394</v>
      </c>
      <c r="H85" s="161" t="s">
        <v>400</v>
      </c>
      <c r="I85" s="161" t="s">
        <v>349</v>
      </c>
      <c r="J85" s="161" t="s">
        <v>356</v>
      </c>
      <c r="K85" s="225" t="s">
        <v>481</v>
      </c>
      <c r="L85" s="225"/>
      <c r="M85" s="225"/>
      <c r="N85" s="225"/>
      <c r="O85" s="225"/>
      <c r="P85" s="225"/>
      <c r="Q85" s="225"/>
      <c r="R85" s="225"/>
    </row>
    <row r="86" spans="2:18" hidden="1" x14ac:dyDescent="0.35">
      <c r="B86" s="160" t="s">
        <v>480</v>
      </c>
      <c r="C86" s="208">
        <v>42909</v>
      </c>
      <c r="D86" s="200" t="s">
        <v>333</v>
      </c>
      <c r="E86" s="195"/>
      <c r="F86" s="195"/>
      <c r="G86" s="161" t="s">
        <v>394</v>
      </c>
      <c r="H86" s="161" t="s">
        <v>401</v>
      </c>
      <c r="I86" s="161" t="s">
        <v>350</v>
      </c>
      <c r="J86" s="161" t="s">
        <v>356</v>
      </c>
      <c r="K86" s="225" t="s">
        <v>481</v>
      </c>
      <c r="L86" s="225"/>
      <c r="M86" s="225"/>
      <c r="N86" s="225"/>
      <c r="O86" s="225"/>
      <c r="P86" s="225"/>
      <c r="Q86" s="225"/>
      <c r="R86" s="225"/>
    </row>
    <row r="87" spans="2:18" hidden="1" x14ac:dyDescent="0.35">
      <c r="B87" s="160" t="s">
        <v>480</v>
      </c>
      <c r="C87" s="208">
        <v>42909</v>
      </c>
      <c r="D87" s="200" t="s">
        <v>333</v>
      </c>
      <c r="E87" s="195"/>
      <c r="F87" s="195"/>
      <c r="G87" s="161" t="s">
        <v>394</v>
      </c>
      <c r="H87" s="161" t="s">
        <v>402</v>
      </c>
      <c r="I87" s="161" t="s">
        <v>403</v>
      </c>
      <c r="J87" s="161" t="s">
        <v>356</v>
      </c>
      <c r="K87" s="225" t="s">
        <v>481</v>
      </c>
      <c r="L87" s="225"/>
      <c r="M87" s="225"/>
      <c r="N87" s="225"/>
      <c r="O87" s="225"/>
      <c r="P87" s="225"/>
      <c r="Q87" s="225"/>
      <c r="R87" s="225"/>
    </row>
    <row r="88" spans="2:18" hidden="1" x14ac:dyDescent="0.35">
      <c r="B88" s="160" t="s">
        <v>480</v>
      </c>
      <c r="C88" s="208">
        <v>42909</v>
      </c>
      <c r="D88" s="200" t="s">
        <v>333</v>
      </c>
      <c r="E88" s="195"/>
      <c r="F88" s="195"/>
      <c r="G88" s="161" t="s">
        <v>394</v>
      </c>
      <c r="H88" s="161" t="s">
        <v>404</v>
      </c>
      <c r="I88" s="161" t="s">
        <v>405</v>
      </c>
      <c r="J88" s="161" t="s">
        <v>356</v>
      </c>
      <c r="K88" s="225" t="s">
        <v>481</v>
      </c>
      <c r="L88" s="225"/>
      <c r="M88" s="225"/>
      <c r="N88" s="225"/>
      <c r="O88" s="225"/>
      <c r="P88" s="225"/>
      <c r="Q88" s="225"/>
      <c r="R88" s="225"/>
    </row>
    <row r="89" spans="2:18" hidden="1" x14ac:dyDescent="0.35">
      <c r="B89" s="160" t="s">
        <v>480</v>
      </c>
      <c r="C89" s="208">
        <v>42909</v>
      </c>
      <c r="D89" s="200" t="s">
        <v>333</v>
      </c>
      <c r="E89" s="195"/>
      <c r="F89" s="195"/>
      <c r="G89" s="161" t="s">
        <v>394</v>
      </c>
      <c r="H89" s="161" t="s">
        <v>406</v>
      </c>
      <c r="I89" s="161" t="s">
        <v>407</v>
      </c>
      <c r="J89" s="161" t="s">
        <v>356</v>
      </c>
      <c r="K89" s="225" t="s">
        <v>481</v>
      </c>
      <c r="L89" s="225"/>
      <c r="M89" s="225"/>
      <c r="N89" s="225"/>
      <c r="O89" s="225"/>
      <c r="P89" s="225"/>
      <c r="Q89" s="225"/>
      <c r="R89" s="225"/>
    </row>
    <row r="90" spans="2:18" hidden="1" x14ac:dyDescent="0.35">
      <c r="B90" s="160" t="s">
        <v>480</v>
      </c>
      <c r="C90" s="208">
        <v>42909</v>
      </c>
      <c r="D90" s="200" t="s">
        <v>333</v>
      </c>
      <c r="E90" s="195"/>
      <c r="F90" s="195"/>
      <c r="G90" s="161" t="s">
        <v>394</v>
      </c>
      <c r="H90" s="161" t="s">
        <v>408</v>
      </c>
      <c r="I90" s="161" t="s">
        <v>409</v>
      </c>
      <c r="J90" s="161" t="s">
        <v>356</v>
      </c>
      <c r="K90" s="225" t="s">
        <v>481</v>
      </c>
      <c r="L90" s="225"/>
      <c r="M90" s="225"/>
      <c r="N90" s="225"/>
      <c r="O90" s="225"/>
      <c r="P90" s="225"/>
      <c r="Q90" s="225"/>
      <c r="R90" s="225"/>
    </row>
    <row r="91" spans="2:18" hidden="1" x14ac:dyDescent="0.35">
      <c r="B91" s="160" t="s">
        <v>480</v>
      </c>
      <c r="C91" s="208">
        <v>42909</v>
      </c>
      <c r="D91" s="200" t="s">
        <v>333</v>
      </c>
      <c r="E91" s="195"/>
      <c r="F91" s="195"/>
      <c r="G91" s="161" t="s">
        <v>394</v>
      </c>
      <c r="H91" s="161" t="s">
        <v>410</v>
      </c>
      <c r="I91" s="161" t="s">
        <v>411</v>
      </c>
      <c r="J91" s="161" t="s">
        <v>412</v>
      </c>
      <c r="K91" s="225" t="s">
        <v>482</v>
      </c>
      <c r="L91" s="225"/>
      <c r="M91" s="225"/>
      <c r="N91" s="225"/>
      <c r="O91" s="225"/>
      <c r="P91" s="225"/>
      <c r="Q91" s="225"/>
      <c r="R91" s="225"/>
    </row>
    <row r="92" spans="2:18" hidden="1" x14ac:dyDescent="0.35">
      <c r="B92" s="160" t="s">
        <v>480</v>
      </c>
      <c r="C92" s="208">
        <v>42909</v>
      </c>
      <c r="D92" s="200" t="s">
        <v>333</v>
      </c>
      <c r="E92" s="195"/>
      <c r="F92" s="195"/>
      <c r="G92" s="161" t="s">
        <v>394</v>
      </c>
      <c r="H92" s="161" t="s">
        <v>438</v>
      </c>
      <c r="I92" s="161" t="s">
        <v>413</v>
      </c>
      <c r="J92" s="161" t="s">
        <v>356</v>
      </c>
      <c r="K92" s="225" t="s">
        <v>481</v>
      </c>
      <c r="L92" s="225"/>
      <c r="M92" s="225"/>
      <c r="N92" s="225"/>
      <c r="O92" s="225"/>
      <c r="P92" s="225"/>
      <c r="Q92" s="225"/>
      <c r="R92" s="225"/>
    </row>
    <row r="93" spans="2:18" hidden="1" x14ac:dyDescent="0.35">
      <c r="B93" s="195"/>
      <c r="C93" s="208">
        <v>42909</v>
      </c>
      <c r="D93" s="195"/>
      <c r="E93" s="195"/>
      <c r="F93" s="196"/>
      <c r="G93" s="196" t="s">
        <v>394</v>
      </c>
      <c r="H93" s="196" t="s">
        <v>410</v>
      </c>
      <c r="I93" s="196" t="s">
        <v>507</v>
      </c>
      <c r="J93" s="196" t="s">
        <v>411</v>
      </c>
      <c r="K93" s="225" t="s">
        <v>509</v>
      </c>
      <c r="L93" s="225"/>
      <c r="M93" s="225"/>
      <c r="N93" s="225"/>
      <c r="O93" s="225"/>
      <c r="P93" s="225"/>
      <c r="Q93" s="225"/>
      <c r="R93" s="225"/>
    </row>
    <row r="94" spans="2:18" hidden="1" x14ac:dyDescent="0.35">
      <c r="B94" s="160" t="s">
        <v>480</v>
      </c>
      <c r="C94" s="160">
        <v>42787</v>
      </c>
      <c r="D94" s="161" t="s">
        <v>332</v>
      </c>
      <c r="E94" s="161" t="s">
        <v>333</v>
      </c>
      <c r="F94" s="161" t="s">
        <v>334</v>
      </c>
      <c r="G94" s="162" t="s">
        <v>336</v>
      </c>
      <c r="H94" s="161" t="s">
        <v>337</v>
      </c>
      <c r="I94" s="163">
        <v>0.1</v>
      </c>
      <c r="J94" s="163">
        <v>0.2</v>
      </c>
      <c r="K94" s="225" t="s">
        <v>335</v>
      </c>
      <c r="L94" s="225"/>
      <c r="M94" s="225"/>
      <c r="N94" s="225"/>
      <c r="O94" s="225"/>
      <c r="P94" s="225"/>
      <c r="Q94" s="225"/>
      <c r="R94" s="225"/>
    </row>
    <row r="95" spans="2:18" hidden="1" x14ac:dyDescent="0.35">
      <c r="B95" s="160" t="s">
        <v>480</v>
      </c>
      <c r="C95" s="208">
        <v>42909</v>
      </c>
      <c r="D95" s="200" t="s">
        <v>333</v>
      </c>
      <c r="E95" s="195"/>
      <c r="F95" s="195"/>
      <c r="G95" s="161" t="s">
        <v>336</v>
      </c>
      <c r="H95" s="161" t="s">
        <v>395</v>
      </c>
      <c r="I95" s="161" t="s">
        <v>351</v>
      </c>
      <c r="J95" s="161" t="s">
        <v>356</v>
      </c>
      <c r="K95" s="225" t="s">
        <v>481</v>
      </c>
      <c r="L95" s="225"/>
      <c r="M95" s="225"/>
      <c r="N95" s="225"/>
      <c r="O95" s="225"/>
      <c r="P95" s="225"/>
      <c r="Q95" s="225"/>
      <c r="R95" s="225"/>
    </row>
    <row r="96" spans="2:18" hidden="1" x14ac:dyDescent="0.35">
      <c r="B96" s="160" t="s">
        <v>480</v>
      </c>
      <c r="C96" s="208">
        <v>42909</v>
      </c>
      <c r="D96" s="200" t="s">
        <v>333</v>
      </c>
      <c r="E96" s="195"/>
      <c r="F96" s="195"/>
      <c r="G96" s="161" t="s">
        <v>336</v>
      </c>
      <c r="H96" s="161" t="s">
        <v>396</v>
      </c>
      <c r="I96" s="161" t="s">
        <v>346</v>
      </c>
      <c r="J96" s="161" t="s">
        <v>356</v>
      </c>
      <c r="K96" s="225" t="s">
        <v>481</v>
      </c>
      <c r="L96" s="225"/>
      <c r="M96" s="225"/>
      <c r="N96" s="225"/>
      <c r="O96" s="225"/>
      <c r="P96" s="225"/>
      <c r="Q96" s="225"/>
      <c r="R96" s="225"/>
    </row>
    <row r="97" spans="2:18" hidden="1" x14ac:dyDescent="0.35">
      <c r="B97" s="160" t="s">
        <v>480</v>
      </c>
      <c r="C97" s="208">
        <v>42909</v>
      </c>
      <c r="D97" s="200" t="s">
        <v>333</v>
      </c>
      <c r="E97" s="195"/>
      <c r="F97" s="195"/>
      <c r="G97" s="161" t="s">
        <v>336</v>
      </c>
      <c r="H97" s="161" t="s">
        <v>414</v>
      </c>
      <c r="I97" s="161" t="s">
        <v>352</v>
      </c>
      <c r="J97" s="161" t="s">
        <v>356</v>
      </c>
      <c r="K97" s="225" t="s">
        <v>482</v>
      </c>
      <c r="L97" s="225"/>
      <c r="M97" s="225"/>
      <c r="N97" s="225"/>
      <c r="O97" s="225"/>
      <c r="P97" s="225"/>
      <c r="Q97" s="225"/>
      <c r="R97" s="225"/>
    </row>
    <row r="98" spans="2:18" hidden="1" x14ac:dyDescent="0.35">
      <c r="B98" s="160" t="s">
        <v>480</v>
      </c>
      <c r="C98" s="208">
        <v>42909</v>
      </c>
      <c r="D98" s="200" t="s">
        <v>333</v>
      </c>
      <c r="E98" s="195"/>
      <c r="F98" s="195"/>
      <c r="G98" s="161" t="s">
        <v>336</v>
      </c>
      <c r="H98" s="161" t="s">
        <v>415</v>
      </c>
      <c r="I98" s="161" t="s">
        <v>267</v>
      </c>
      <c r="J98" s="161" t="s">
        <v>356</v>
      </c>
      <c r="K98" s="225" t="s">
        <v>482</v>
      </c>
      <c r="L98" s="225"/>
      <c r="M98" s="225"/>
      <c r="N98" s="225"/>
      <c r="O98" s="225"/>
      <c r="P98" s="225"/>
      <c r="Q98" s="225"/>
      <c r="R98" s="225"/>
    </row>
    <row r="99" spans="2:18" hidden="1" x14ac:dyDescent="0.35">
      <c r="B99" s="160" t="s">
        <v>480</v>
      </c>
      <c r="C99" s="208">
        <v>42909</v>
      </c>
      <c r="D99" s="200" t="s">
        <v>333</v>
      </c>
      <c r="E99" s="195"/>
      <c r="F99" s="195"/>
      <c r="G99" s="161" t="s">
        <v>336</v>
      </c>
      <c r="H99" s="161" t="s">
        <v>416</v>
      </c>
      <c r="I99" s="161" t="s">
        <v>417</v>
      </c>
      <c r="J99" s="161" t="s">
        <v>417</v>
      </c>
      <c r="K99" s="225" t="s">
        <v>482</v>
      </c>
      <c r="L99" s="225"/>
      <c r="M99" s="225"/>
      <c r="N99" s="225"/>
      <c r="O99" s="225"/>
      <c r="P99" s="225"/>
      <c r="Q99" s="225"/>
      <c r="R99" s="225"/>
    </row>
    <row r="100" spans="2:18" hidden="1" x14ac:dyDescent="0.35">
      <c r="B100" s="160" t="s">
        <v>480</v>
      </c>
      <c r="C100" s="208">
        <v>42909</v>
      </c>
      <c r="D100" s="200" t="s">
        <v>333</v>
      </c>
      <c r="E100" s="195"/>
      <c r="F100" s="195"/>
      <c r="G100" s="161" t="s">
        <v>336</v>
      </c>
      <c r="H100" s="161" t="s">
        <v>418</v>
      </c>
      <c r="I100" s="161" t="s">
        <v>345</v>
      </c>
      <c r="J100" s="161" t="s">
        <v>356</v>
      </c>
      <c r="K100" s="225" t="s">
        <v>481</v>
      </c>
      <c r="L100" s="225"/>
      <c r="M100" s="225"/>
      <c r="N100" s="225"/>
      <c r="O100" s="225"/>
      <c r="P100" s="225"/>
      <c r="Q100" s="225"/>
      <c r="R100" s="225"/>
    </row>
    <row r="101" spans="2:18" hidden="1" x14ac:dyDescent="0.35">
      <c r="B101" s="160" t="s">
        <v>480</v>
      </c>
      <c r="C101" s="208">
        <v>42909</v>
      </c>
      <c r="D101" s="200" t="s">
        <v>333</v>
      </c>
      <c r="E101" s="195"/>
      <c r="F101" s="195"/>
      <c r="G101" s="161" t="s">
        <v>336</v>
      </c>
      <c r="H101" s="161" t="s">
        <v>419</v>
      </c>
      <c r="I101" s="161" t="s">
        <v>347</v>
      </c>
      <c r="J101" s="161" t="s">
        <v>356</v>
      </c>
      <c r="K101" s="225" t="s">
        <v>481</v>
      </c>
      <c r="L101" s="225"/>
      <c r="M101" s="225"/>
      <c r="N101" s="225"/>
      <c r="O101" s="225"/>
      <c r="P101" s="225"/>
      <c r="Q101" s="225"/>
      <c r="R101" s="225"/>
    </row>
    <row r="102" spans="2:18" hidden="1" x14ac:dyDescent="0.35">
      <c r="B102" s="160" t="s">
        <v>480</v>
      </c>
      <c r="C102" s="208">
        <v>42909</v>
      </c>
      <c r="D102" s="200" t="s">
        <v>333</v>
      </c>
      <c r="E102" s="195"/>
      <c r="F102" s="195"/>
      <c r="G102" s="161" t="s">
        <v>336</v>
      </c>
      <c r="H102" s="161" t="s">
        <v>420</v>
      </c>
      <c r="I102" s="161" t="s">
        <v>348</v>
      </c>
      <c r="J102" s="161" t="s">
        <v>356</v>
      </c>
      <c r="K102" s="225" t="s">
        <v>481</v>
      </c>
      <c r="L102" s="225"/>
      <c r="M102" s="225"/>
      <c r="N102" s="225"/>
      <c r="O102" s="225"/>
      <c r="P102" s="225"/>
      <c r="Q102" s="225"/>
      <c r="R102" s="225"/>
    </row>
    <row r="103" spans="2:18" hidden="1" x14ac:dyDescent="0.35">
      <c r="B103" s="160" t="s">
        <v>480</v>
      </c>
      <c r="C103" s="208">
        <v>42909</v>
      </c>
      <c r="D103" s="200" t="s">
        <v>333</v>
      </c>
      <c r="E103" s="195"/>
      <c r="F103" s="195"/>
      <c r="G103" s="161" t="s">
        <v>336</v>
      </c>
      <c r="H103" s="161" t="s">
        <v>421</v>
      </c>
      <c r="I103" s="161" t="s">
        <v>349</v>
      </c>
      <c r="J103" s="161" t="s">
        <v>356</v>
      </c>
      <c r="K103" s="225" t="s">
        <v>481</v>
      </c>
      <c r="L103" s="225"/>
      <c r="M103" s="225"/>
      <c r="N103" s="225"/>
      <c r="O103" s="225"/>
      <c r="P103" s="225"/>
      <c r="Q103" s="225"/>
      <c r="R103" s="225"/>
    </row>
    <row r="104" spans="2:18" hidden="1" x14ac:dyDescent="0.35">
      <c r="B104" s="160" t="s">
        <v>480</v>
      </c>
      <c r="C104" s="208">
        <v>42909</v>
      </c>
      <c r="D104" s="200" t="s">
        <v>333</v>
      </c>
      <c r="E104" s="195"/>
      <c r="F104" s="195"/>
      <c r="G104" s="161" t="s">
        <v>336</v>
      </c>
      <c r="H104" s="161" t="s">
        <v>422</v>
      </c>
      <c r="I104" s="161" t="s">
        <v>350</v>
      </c>
      <c r="J104" s="161" t="s">
        <v>356</v>
      </c>
      <c r="K104" s="225" t="s">
        <v>481</v>
      </c>
      <c r="L104" s="225"/>
      <c r="M104" s="225"/>
      <c r="N104" s="225"/>
      <c r="O104" s="225"/>
      <c r="P104" s="225"/>
      <c r="Q104" s="225"/>
      <c r="R104" s="225"/>
    </row>
    <row r="105" spans="2:18" hidden="1" x14ac:dyDescent="0.35">
      <c r="B105" s="160" t="s">
        <v>480</v>
      </c>
      <c r="C105" s="208">
        <v>42909</v>
      </c>
      <c r="D105" s="200" t="s">
        <v>333</v>
      </c>
      <c r="E105" s="195"/>
      <c r="F105" s="195"/>
      <c r="G105" s="161" t="s">
        <v>336</v>
      </c>
      <c r="H105" s="161" t="s">
        <v>423</v>
      </c>
      <c r="I105" s="161" t="s">
        <v>353</v>
      </c>
      <c r="J105" s="161" t="s">
        <v>356</v>
      </c>
      <c r="K105" s="225" t="s">
        <v>482</v>
      </c>
      <c r="L105" s="225"/>
      <c r="M105" s="225"/>
      <c r="N105" s="225"/>
      <c r="O105" s="225"/>
      <c r="P105" s="225"/>
      <c r="Q105" s="225"/>
      <c r="R105" s="225"/>
    </row>
    <row r="106" spans="2:18" hidden="1" x14ac:dyDescent="0.35">
      <c r="B106" s="160" t="s">
        <v>480</v>
      </c>
      <c r="C106" s="208">
        <v>42934</v>
      </c>
      <c r="D106" s="200" t="s">
        <v>333</v>
      </c>
      <c r="E106" s="195"/>
      <c r="F106" s="195"/>
      <c r="G106" s="161" t="s">
        <v>336</v>
      </c>
      <c r="H106" s="161" t="s">
        <v>424</v>
      </c>
      <c r="I106" s="209" t="s">
        <v>514</v>
      </c>
      <c r="J106" s="161" t="s">
        <v>356</v>
      </c>
      <c r="K106" s="225" t="s">
        <v>482</v>
      </c>
      <c r="L106" s="225"/>
      <c r="M106" s="225"/>
      <c r="N106" s="225"/>
      <c r="O106" s="225"/>
      <c r="P106" s="225"/>
      <c r="Q106" s="225"/>
      <c r="R106" s="225"/>
    </row>
    <row r="107" spans="2:18" hidden="1" x14ac:dyDescent="0.35">
      <c r="B107" s="160" t="s">
        <v>480</v>
      </c>
      <c r="C107" s="208">
        <v>42909</v>
      </c>
      <c r="D107" s="200" t="s">
        <v>333</v>
      </c>
      <c r="E107" s="195"/>
      <c r="F107" s="195"/>
      <c r="G107" s="161" t="s">
        <v>336</v>
      </c>
      <c r="H107" s="161" t="s">
        <v>425</v>
      </c>
      <c r="I107" s="161" t="s">
        <v>426</v>
      </c>
      <c r="J107" s="161" t="s">
        <v>356</v>
      </c>
      <c r="K107" s="225" t="s">
        <v>481</v>
      </c>
      <c r="L107" s="225"/>
      <c r="M107" s="225"/>
      <c r="N107" s="225"/>
      <c r="O107" s="225"/>
      <c r="P107" s="225"/>
      <c r="Q107" s="225"/>
      <c r="R107" s="225"/>
    </row>
    <row r="108" spans="2:18" hidden="1" x14ac:dyDescent="0.35">
      <c r="B108" s="160" t="s">
        <v>480</v>
      </c>
      <c r="C108" s="208">
        <v>42909</v>
      </c>
      <c r="D108" s="200" t="s">
        <v>333</v>
      </c>
      <c r="E108" s="195"/>
      <c r="F108" s="195"/>
      <c r="G108" s="161" t="s">
        <v>336</v>
      </c>
      <c r="H108" s="161" t="s">
        <v>427</v>
      </c>
      <c r="I108" s="161" t="s">
        <v>428</v>
      </c>
      <c r="J108" s="161" t="s">
        <v>356</v>
      </c>
      <c r="K108" s="225" t="s">
        <v>481</v>
      </c>
      <c r="L108" s="225"/>
      <c r="M108" s="225"/>
      <c r="N108" s="225"/>
      <c r="O108" s="225"/>
      <c r="P108" s="225"/>
      <c r="Q108" s="225"/>
      <c r="R108" s="225"/>
    </row>
    <row r="109" spans="2:18" hidden="1" x14ac:dyDescent="0.35">
      <c r="B109" s="160" t="s">
        <v>480</v>
      </c>
      <c r="C109" s="208">
        <v>42909</v>
      </c>
      <c r="D109" s="200" t="s">
        <v>333</v>
      </c>
      <c r="E109" s="195"/>
      <c r="F109" s="195"/>
      <c r="G109" s="161" t="s">
        <v>336</v>
      </c>
      <c r="H109" s="161" t="s">
        <v>429</v>
      </c>
      <c r="I109" s="161" t="s">
        <v>430</v>
      </c>
      <c r="J109" s="161" t="s">
        <v>356</v>
      </c>
      <c r="K109" s="225" t="s">
        <v>481</v>
      </c>
      <c r="L109" s="225"/>
      <c r="M109" s="225"/>
      <c r="N109" s="225"/>
      <c r="O109" s="225"/>
      <c r="P109" s="225"/>
      <c r="Q109" s="225"/>
      <c r="R109" s="225"/>
    </row>
    <row r="110" spans="2:18" hidden="1" x14ac:dyDescent="0.35">
      <c r="B110" s="160" t="s">
        <v>480</v>
      </c>
      <c r="C110" s="208">
        <v>42909</v>
      </c>
      <c r="D110" s="200" t="s">
        <v>333</v>
      </c>
      <c r="E110" s="195"/>
      <c r="F110" s="195"/>
      <c r="G110" s="161" t="s">
        <v>336</v>
      </c>
      <c r="H110" s="161" t="s">
        <v>431</v>
      </c>
      <c r="I110" s="161" t="s">
        <v>432</v>
      </c>
      <c r="J110" s="161" t="s">
        <v>356</v>
      </c>
      <c r="K110" s="225" t="s">
        <v>481</v>
      </c>
      <c r="L110" s="225"/>
      <c r="M110" s="225"/>
      <c r="N110" s="225"/>
      <c r="O110" s="225"/>
      <c r="P110" s="225"/>
      <c r="Q110" s="225"/>
      <c r="R110" s="225"/>
    </row>
    <row r="111" spans="2:18" hidden="1" x14ac:dyDescent="0.35">
      <c r="B111" s="160" t="s">
        <v>480</v>
      </c>
      <c r="C111" s="208">
        <v>42909</v>
      </c>
      <c r="D111" s="200" t="s">
        <v>333</v>
      </c>
      <c r="E111" s="195"/>
      <c r="F111" s="195"/>
      <c r="G111" s="161" t="s">
        <v>336</v>
      </c>
      <c r="H111" s="161" t="s">
        <v>433</v>
      </c>
      <c r="I111" s="161" t="s">
        <v>434</v>
      </c>
      <c r="J111" s="161" t="s">
        <v>356</v>
      </c>
      <c r="K111" s="225" t="s">
        <v>481</v>
      </c>
      <c r="L111" s="225"/>
      <c r="M111" s="225"/>
      <c r="N111" s="225"/>
      <c r="O111" s="225"/>
      <c r="P111" s="225"/>
      <c r="Q111" s="225"/>
      <c r="R111" s="225"/>
    </row>
    <row r="112" spans="2:18" hidden="1" x14ac:dyDescent="0.35">
      <c r="B112" s="160" t="s">
        <v>480</v>
      </c>
      <c r="C112" s="208">
        <v>42909</v>
      </c>
      <c r="D112" s="200" t="s">
        <v>333</v>
      </c>
      <c r="E112" s="195"/>
      <c r="F112" s="195"/>
      <c r="G112" s="196" t="s">
        <v>336</v>
      </c>
      <c r="H112" s="196" t="s">
        <v>435</v>
      </c>
      <c r="I112" s="196" t="s">
        <v>436</v>
      </c>
      <c r="J112" s="196" t="s">
        <v>437</v>
      </c>
      <c r="K112" s="225" t="s">
        <v>483</v>
      </c>
      <c r="L112" s="225"/>
      <c r="M112" s="225"/>
      <c r="N112" s="225"/>
      <c r="O112" s="225"/>
      <c r="P112" s="225"/>
      <c r="Q112" s="225"/>
      <c r="R112" s="225"/>
    </row>
    <row r="113" spans="2:18" hidden="1" x14ac:dyDescent="0.35">
      <c r="B113" s="160" t="s">
        <v>480</v>
      </c>
      <c r="C113" s="208">
        <v>42909</v>
      </c>
      <c r="D113" s="200" t="s">
        <v>333</v>
      </c>
      <c r="E113" s="195"/>
      <c r="F113" s="195"/>
      <c r="G113" s="161" t="s">
        <v>442</v>
      </c>
      <c r="H113" s="161" t="s">
        <v>443</v>
      </c>
      <c r="I113" s="161" t="s">
        <v>338</v>
      </c>
      <c r="J113" s="161" t="s">
        <v>356</v>
      </c>
      <c r="K113" s="225" t="s">
        <v>481</v>
      </c>
      <c r="L113" s="225"/>
      <c r="M113" s="225"/>
      <c r="N113" s="225"/>
      <c r="O113" s="225"/>
      <c r="P113" s="225"/>
      <c r="Q113" s="225"/>
      <c r="R113" s="225"/>
    </row>
    <row r="114" spans="2:18" hidden="1" x14ac:dyDescent="0.35">
      <c r="B114" s="160" t="s">
        <v>480</v>
      </c>
      <c r="C114" s="208">
        <v>42909</v>
      </c>
      <c r="D114" s="200" t="s">
        <v>333</v>
      </c>
      <c r="E114" s="195"/>
      <c r="F114" s="195"/>
      <c r="G114" s="161" t="s">
        <v>442</v>
      </c>
      <c r="H114" s="161" t="s">
        <v>444</v>
      </c>
      <c r="I114" s="161" t="s">
        <v>344</v>
      </c>
      <c r="J114" s="161" t="s">
        <v>356</v>
      </c>
      <c r="K114" s="225" t="s">
        <v>481</v>
      </c>
      <c r="L114" s="225"/>
      <c r="M114" s="225"/>
      <c r="N114" s="225"/>
      <c r="O114" s="225"/>
      <c r="P114" s="225"/>
      <c r="Q114" s="225"/>
      <c r="R114" s="225"/>
    </row>
    <row r="115" spans="2:18" hidden="1" x14ac:dyDescent="0.35">
      <c r="B115" s="160" t="s">
        <v>480</v>
      </c>
      <c r="C115" s="208">
        <v>42909</v>
      </c>
      <c r="D115" s="200" t="s">
        <v>333</v>
      </c>
      <c r="E115" s="195"/>
      <c r="F115" s="195"/>
      <c r="G115" s="161" t="s">
        <v>442</v>
      </c>
      <c r="H115" s="161" t="s">
        <v>445</v>
      </c>
      <c r="I115" s="161" t="s">
        <v>439</v>
      </c>
      <c r="J115" s="161" t="s">
        <v>356</v>
      </c>
      <c r="K115" s="225" t="s">
        <v>481</v>
      </c>
      <c r="L115" s="225"/>
      <c r="M115" s="225"/>
      <c r="N115" s="225"/>
      <c r="O115" s="225"/>
      <c r="P115" s="225"/>
      <c r="Q115" s="225"/>
      <c r="R115" s="225"/>
    </row>
    <row r="116" spans="2:18" hidden="1" x14ac:dyDescent="0.35">
      <c r="B116" s="160" t="s">
        <v>480</v>
      </c>
      <c r="C116" s="208">
        <v>42909</v>
      </c>
      <c r="D116" s="200" t="s">
        <v>333</v>
      </c>
      <c r="E116" s="195"/>
      <c r="F116" s="195"/>
      <c r="G116" s="161" t="s">
        <v>442</v>
      </c>
      <c r="H116" s="161" t="s">
        <v>446</v>
      </c>
      <c r="I116" s="161" t="s">
        <v>440</v>
      </c>
      <c r="J116" s="161" t="s">
        <v>356</v>
      </c>
      <c r="K116" s="225" t="s">
        <v>481</v>
      </c>
      <c r="L116" s="225"/>
      <c r="M116" s="225"/>
      <c r="N116" s="225"/>
      <c r="O116" s="225"/>
      <c r="P116" s="225"/>
      <c r="Q116" s="225"/>
      <c r="R116" s="225"/>
    </row>
    <row r="117" spans="2:18" hidden="1" x14ac:dyDescent="0.35">
      <c r="B117" s="160" t="s">
        <v>480</v>
      </c>
      <c r="C117" s="208">
        <v>42909</v>
      </c>
      <c r="D117" s="200" t="s">
        <v>333</v>
      </c>
      <c r="E117" s="195"/>
      <c r="F117" s="195"/>
      <c r="G117" s="161" t="s">
        <v>442</v>
      </c>
      <c r="H117" s="161" t="s">
        <v>447</v>
      </c>
      <c r="I117" s="161" t="s">
        <v>441</v>
      </c>
      <c r="J117" s="161" t="s">
        <v>356</v>
      </c>
      <c r="K117" s="225" t="s">
        <v>481</v>
      </c>
      <c r="L117" s="225"/>
      <c r="M117" s="225"/>
      <c r="N117" s="225"/>
      <c r="O117" s="225"/>
      <c r="P117" s="225"/>
      <c r="Q117" s="225"/>
      <c r="R117" s="225"/>
    </row>
    <row r="118" spans="2:18" hidden="1" x14ac:dyDescent="0.35">
      <c r="B118" s="160" t="s">
        <v>480</v>
      </c>
      <c r="C118" s="208">
        <v>42909</v>
      </c>
      <c r="D118" s="200" t="s">
        <v>333</v>
      </c>
      <c r="E118" s="195"/>
      <c r="F118" s="195"/>
      <c r="G118" s="161" t="s">
        <v>442</v>
      </c>
      <c r="H118" s="161" t="s">
        <v>448</v>
      </c>
      <c r="I118" s="161" t="s">
        <v>347</v>
      </c>
      <c r="J118" s="161" t="s">
        <v>356</v>
      </c>
      <c r="K118" s="225" t="s">
        <v>481</v>
      </c>
      <c r="L118" s="225"/>
      <c r="M118" s="225"/>
      <c r="N118" s="225"/>
      <c r="O118" s="225"/>
      <c r="P118" s="225"/>
      <c r="Q118" s="225"/>
      <c r="R118" s="225"/>
    </row>
    <row r="119" spans="2:18" hidden="1" x14ac:dyDescent="0.35">
      <c r="B119" s="160" t="s">
        <v>480</v>
      </c>
      <c r="C119" s="208">
        <v>42909</v>
      </c>
      <c r="D119" s="200" t="s">
        <v>333</v>
      </c>
      <c r="E119" s="195"/>
      <c r="F119" s="195"/>
      <c r="G119" s="161" t="s">
        <v>442</v>
      </c>
      <c r="H119" s="161" t="s">
        <v>449</v>
      </c>
      <c r="I119" s="161" t="s">
        <v>348</v>
      </c>
      <c r="J119" s="161" t="s">
        <v>356</v>
      </c>
      <c r="K119" s="225" t="s">
        <v>481</v>
      </c>
      <c r="L119" s="225"/>
      <c r="M119" s="225"/>
      <c r="N119" s="225"/>
      <c r="O119" s="225"/>
      <c r="P119" s="225"/>
      <c r="Q119" s="225"/>
      <c r="R119" s="225"/>
    </row>
    <row r="120" spans="2:18" hidden="1" x14ac:dyDescent="0.35">
      <c r="B120" s="160" t="s">
        <v>480</v>
      </c>
      <c r="C120" s="208">
        <v>42909</v>
      </c>
      <c r="D120" s="200" t="s">
        <v>333</v>
      </c>
      <c r="E120" s="195"/>
      <c r="F120" s="195"/>
      <c r="G120" s="161" t="s">
        <v>442</v>
      </c>
      <c r="H120" s="161" t="s">
        <v>450</v>
      </c>
      <c r="I120" s="161" t="s">
        <v>349</v>
      </c>
      <c r="J120" s="161" t="s">
        <v>356</v>
      </c>
      <c r="K120" s="225" t="s">
        <v>481</v>
      </c>
      <c r="L120" s="225"/>
      <c r="M120" s="225"/>
      <c r="N120" s="225"/>
      <c r="O120" s="225"/>
      <c r="P120" s="225"/>
      <c r="Q120" s="225"/>
      <c r="R120" s="225"/>
    </row>
    <row r="121" spans="2:18" hidden="1" x14ac:dyDescent="0.35">
      <c r="B121" s="160" t="s">
        <v>480</v>
      </c>
      <c r="C121" s="208">
        <v>42909</v>
      </c>
      <c r="D121" s="200" t="s">
        <v>333</v>
      </c>
      <c r="E121" s="195"/>
      <c r="F121" s="195"/>
      <c r="G121" s="161" t="s">
        <v>442</v>
      </c>
      <c r="H121" s="161" t="s">
        <v>451</v>
      </c>
      <c r="I121" s="161" t="s">
        <v>350</v>
      </c>
      <c r="J121" s="161" t="s">
        <v>356</v>
      </c>
      <c r="K121" s="225" t="s">
        <v>481</v>
      </c>
      <c r="L121" s="225"/>
      <c r="M121" s="225"/>
      <c r="N121" s="225"/>
      <c r="O121" s="225"/>
      <c r="P121" s="225"/>
      <c r="Q121" s="225"/>
      <c r="R121" s="225"/>
    </row>
    <row r="122" spans="2:18" hidden="1" x14ac:dyDescent="0.35">
      <c r="B122" s="160" t="s">
        <v>480</v>
      </c>
      <c r="C122" s="208">
        <v>42909</v>
      </c>
      <c r="D122" s="200" t="s">
        <v>333</v>
      </c>
      <c r="E122" s="195"/>
      <c r="F122" s="195"/>
      <c r="G122" s="161" t="s">
        <v>442</v>
      </c>
      <c r="H122" s="161" t="s">
        <v>452</v>
      </c>
      <c r="I122" s="161" t="s">
        <v>453</v>
      </c>
      <c r="J122" s="161" t="s">
        <v>356</v>
      </c>
      <c r="K122" s="225" t="s">
        <v>481</v>
      </c>
      <c r="L122" s="225"/>
      <c r="M122" s="225"/>
      <c r="N122" s="225"/>
      <c r="O122" s="225"/>
      <c r="P122" s="225"/>
      <c r="Q122" s="225"/>
      <c r="R122" s="225"/>
    </row>
    <row r="123" spans="2:18" hidden="1" x14ac:dyDescent="0.35">
      <c r="B123" s="160" t="s">
        <v>480</v>
      </c>
      <c r="C123" s="208">
        <v>42909</v>
      </c>
      <c r="D123" s="200" t="s">
        <v>333</v>
      </c>
      <c r="E123" s="195"/>
      <c r="F123" s="195"/>
      <c r="G123" s="161" t="s">
        <v>442</v>
      </c>
      <c r="H123" s="161" t="s">
        <v>454</v>
      </c>
      <c r="I123" s="161" t="s">
        <v>455</v>
      </c>
      <c r="J123" s="161" t="s">
        <v>356</v>
      </c>
      <c r="K123" s="225" t="s">
        <v>481</v>
      </c>
      <c r="L123" s="225"/>
      <c r="M123" s="225"/>
      <c r="N123" s="225"/>
      <c r="O123" s="225"/>
      <c r="P123" s="225"/>
      <c r="Q123" s="225"/>
      <c r="R123" s="225"/>
    </row>
    <row r="124" spans="2:18" hidden="1" x14ac:dyDescent="0.35">
      <c r="B124" s="160" t="s">
        <v>480</v>
      </c>
      <c r="C124" s="208">
        <v>42909</v>
      </c>
      <c r="D124" s="200" t="s">
        <v>333</v>
      </c>
      <c r="E124" s="195"/>
      <c r="F124" s="195"/>
      <c r="G124" s="161" t="s">
        <v>442</v>
      </c>
      <c r="H124" s="161" t="s">
        <v>456</v>
      </c>
      <c r="I124" s="161" t="s">
        <v>457</v>
      </c>
      <c r="J124" s="161" t="s">
        <v>356</v>
      </c>
      <c r="K124" s="225" t="s">
        <v>481</v>
      </c>
      <c r="L124" s="225"/>
      <c r="M124" s="225"/>
      <c r="N124" s="225"/>
      <c r="O124" s="225"/>
      <c r="P124" s="225"/>
      <c r="Q124" s="225"/>
      <c r="R124" s="225"/>
    </row>
    <row r="125" spans="2:18" hidden="1" x14ac:dyDescent="0.35">
      <c r="B125" s="160" t="s">
        <v>480</v>
      </c>
      <c r="C125" s="208">
        <v>42909</v>
      </c>
      <c r="D125" s="200" t="s">
        <v>333</v>
      </c>
      <c r="E125" s="195"/>
      <c r="F125" s="195"/>
      <c r="G125" s="161" t="s">
        <v>442</v>
      </c>
      <c r="H125" s="161" t="s">
        <v>458</v>
      </c>
      <c r="I125" s="161" t="s">
        <v>459</v>
      </c>
      <c r="J125" s="161" t="s">
        <v>356</v>
      </c>
      <c r="K125" s="225" t="s">
        <v>481</v>
      </c>
      <c r="L125" s="225"/>
      <c r="M125" s="225"/>
      <c r="N125" s="225"/>
      <c r="O125" s="225"/>
      <c r="P125" s="225"/>
      <c r="Q125" s="225"/>
      <c r="R125" s="225"/>
    </row>
    <row r="126" spans="2:18" hidden="1" x14ac:dyDescent="0.35">
      <c r="B126" s="160" t="s">
        <v>480</v>
      </c>
      <c r="C126" s="208">
        <v>42909</v>
      </c>
      <c r="D126" s="200" t="s">
        <v>333</v>
      </c>
      <c r="E126" s="195"/>
      <c r="F126" s="195"/>
      <c r="G126" s="161" t="s">
        <v>442</v>
      </c>
      <c r="H126" s="161" t="s">
        <v>460</v>
      </c>
      <c r="I126" s="161" t="s">
        <v>461</v>
      </c>
      <c r="J126" s="161" t="s">
        <v>356</v>
      </c>
      <c r="K126" s="225" t="s">
        <v>481</v>
      </c>
      <c r="L126" s="225"/>
      <c r="M126" s="225"/>
      <c r="N126" s="225"/>
      <c r="O126" s="225"/>
      <c r="P126" s="225"/>
      <c r="Q126" s="225"/>
      <c r="R126" s="225"/>
    </row>
    <row r="127" spans="2:18" hidden="1" x14ac:dyDescent="0.35">
      <c r="B127" s="160" t="s">
        <v>480</v>
      </c>
      <c r="C127" s="208">
        <v>42909</v>
      </c>
      <c r="D127" s="200" t="s">
        <v>333</v>
      </c>
      <c r="E127" s="195"/>
      <c r="F127" s="195"/>
      <c r="G127" s="161" t="s">
        <v>442</v>
      </c>
      <c r="H127" s="161" t="s">
        <v>462</v>
      </c>
      <c r="I127" s="161" t="s">
        <v>463</v>
      </c>
      <c r="J127" s="161" t="s">
        <v>356</v>
      </c>
      <c r="K127" s="225" t="s">
        <v>481</v>
      </c>
      <c r="L127" s="225"/>
      <c r="M127" s="225"/>
      <c r="N127" s="225"/>
      <c r="O127" s="225"/>
      <c r="P127" s="225"/>
      <c r="Q127" s="225"/>
      <c r="R127" s="225"/>
    </row>
    <row r="128" spans="2:18" hidden="1" x14ac:dyDescent="0.35">
      <c r="B128" s="160" t="s">
        <v>480</v>
      </c>
      <c r="C128" s="208">
        <v>42909</v>
      </c>
      <c r="D128" s="200" t="s">
        <v>333</v>
      </c>
      <c r="E128" s="195"/>
      <c r="F128" s="195"/>
      <c r="G128" s="161" t="s">
        <v>442</v>
      </c>
      <c r="H128" s="161" t="s">
        <v>464</v>
      </c>
      <c r="I128" s="161" t="s">
        <v>465</v>
      </c>
      <c r="J128" s="161" t="s">
        <v>356</v>
      </c>
      <c r="K128" s="225" t="s">
        <v>481</v>
      </c>
      <c r="L128" s="225"/>
      <c r="M128" s="225"/>
      <c r="N128" s="225"/>
      <c r="O128" s="225"/>
      <c r="P128" s="225"/>
      <c r="Q128" s="225"/>
      <c r="R128" s="225"/>
    </row>
    <row r="129" spans="2:18" hidden="1" x14ac:dyDescent="0.35">
      <c r="B129" s="160" t="s">
        <v>480</v>
      </c>
      <c r="C129" s="208">
        <v>42909</v>
      </c>
      <c r="D129" s="200" t="s">
        <v>333</v>
      </c>
      <c r="E129" s="195"/>
      <c r="F129" s="195"/>
      <c r="G129" s="161" t="s">
        <v>442</v>
      </c>
      <c r="H129" s="161" t="s">
        <v>466</v>
      </c>
      <c r="I129" s="161" t="s">
        <v>467</v>
      </c>
      <c r="J129" s="161" t="s">
        <v>356</v>
      </c>
      <c r="K129" s="225" t="s">
        <v>481</v>
      </c>
      <c r="L129" s="225"/>
      <c r="M129" s="225"/>
      <c r="N129" s="225"/>
      <c r="O129" s="225"/>
      <c r="P129" s="225"/>
      <c r="Q129" s="225"/>
      <c r="R129" s="225"/>
    </row>
    <row r="130" spans="2:18" hidden="1" x14ac:dyDescent="0.35">
      <c r="B130" s="160" t="s">
        <v>480</v>
      </c>
      <c r="C130" s="208">
        <v>42909</v>
      </c>
      <c r="D130" s="200" t="s">
        <v>333</v>
      </c>
      <c r="E130" s="195"/>
      <c r="F130" s="195"/>
      <c r="G130" s="161" t="s">
        <v>442</v>
      </c>
      <c r="H130" s="161" t="s">
        <v>468</v>
      </c>
      <c r="I130" s="161" t="s">
        <v>469</v>
      </c>
      <c r="J130" s="161" t="s">
        <v>356</v>
      </c>
      <c r="K130" s="225" t="s">
        <v>481</v>
      </c>
      <c r="L130" s="225"/>
      <c r="M130" s="225"/>
      <c r="N130" s="225"/>
      <c r="O130" s="225"/>
      <c r="P130" s="225"/>
      <c r="Q130" s="225"/>
      <c r="R130" s="225"/>
    </row>
    <row r="131" spans="2:18" hidden="1" x14ac:dyDescent="0.35">
      <c r="B131" s="160" t="s">
        <v>480</v>
      </c>
      <c r="C131" s="208">
        <v>42909</v>
      </c>
      <c r="D131" s="200" t="s">
        <v>333</v>
      </c>
      <c r="E131" s="195"/>
      <c r="F131" s="195"/>
      <c r="G131" s="161" t="s">
        <v>442</v>
      </c>
      <c r="H131" s="161" t="s">
        <v>470</v>
      </c>
      <c r="I131" s="161" t="s">
        <v>471</v>
      </c>
      <c r="J131" s="161" t="s">
        <v>356</v>
      </c>
      <c r="K131" s="225" t="s">
        <v>481</v>
      </c>
      <c r="L131" s="225"/>
      <c r="M131" s="225"/>
      <c r="N131" s="225"/>
      <c r="O131" s="225"/>
      <c r="P131" s="225"/>
      <c r="Q131" s="225"/>
      <c r="R131" s="225"/>
    </row>
    <row r="132" spans="2:18" hidden="1" x14ac:dyDescent="0.35">
      <c r="B132" s="160" t="s">
        <v>480</v>
      </c>
      <c r="C132" s="208">
        <v>42909</v>
      </c>
      <c r="D132" s="200" t="s">
        <v>333</v>
      </c>
      <c r="E132" s="195"/>
      <c r="F132" s="195"/>
      <c r="G132" s="161" t="s">
        <v>442</v>
      </c>
      <c r="H132" s="161" t="s">
        <v>472</v>
      </c>
      <c r="I132" s="161" t="s">
        <v>473</v>
      </c>
      <c r="J132" s="161" t="s">
        <v>356</v>
      </c>
      <c r="K132" s="225" t="s">
        <v>481</v>
      </c>
      <c r="L132" s="225"/>
      <c r="M132" s="225"/>
      <c r="N132" s="225"/>
      <c r="O132" s="225"/>
      <c r="P132" s="225"/>
      <c r="Q132" s="225"/>
      <c r="R132" s="225"/>
    </row>
    <row r="133" spans="2:18" hidden="1" x14ac:dyDescent="0.35">
      <c r="B133" s="160" t="s">
        <v>480</v>
      </c>
      <c r="C133" s="208">
        <v>42909</v>
      </c>
      <c r="D133" s="200" t="s">
        <v>333</v>
      </c>
      <c r="E133" s="195"/>
      <c r="F133" s="195"/>
      <c r="G133" s="161" t="s">
        <v>442</v>
      </c>
      <c r="H133" s="161" t="s">
        <v>474</v>
      </c>
      <c r="I133" s="161" t="s">
        <v>475</v>
      </c>
      <c r="J133" s="161" t="s">
        <v>356</v>
      </c>
      <c r="K133" s="225" t="s">
        <v>481</v>
      </c>
      <c r="L133" s="225"/>
      <c r="M133" s="225"/>
      <c r="N133" s="225"/>
      <c r="O133" s="225"/>
      <c r="P133" s="225"/>
      <c r="Q133" s="225"/>
      <c r="R133" s="225"/>
    </row>
    <row r="134" spans="2:18" hidden="1" x14ac:dyDescent="0.35">
      <c r="B134" s="160" t="s">
        <v>480</v>
      </c>
      <c r="C134" s="208">
        <v>42909</v>
      </c>
      <c r="D134" s="200" t="s">
        <v>333</v>
      </c>
      <c r="E134" s="195"/>
      <c r="F134" s="195"/>
      <c r="G134" s="196" t="s">
        <v>442</v>
      </c>
      <c r="H134" s="196" t="s">
        <v>476</v>
      </c>
      <c r="I134" s="196" t="s">
        <v>477</v>
      </c>
      <c r="J134" s="196" t="s">
        <v>356</v>
      </c>
      <c r="K134" s="225" t="s">
        <v>481</v>
      </c>
      <c r="L134" s="225"/>
      <c r="M134" s="225"/>
      <c r="N134" s="225"/>
      <c r="O134" s="225"/>
      <c r="P134" s="225"/>
      <c r="Q134" s="225"/>
      <c r="R134" s="225"/>
    </row>
    <row r="135" spans="2:18" hidden="1" x14ac:dyDescent="0.35">
      <c r="B135" s="160" t="s">
        <v>480</v>
      </c>
      <c r="C135" s="208">
        <v>42909</v>
      </c>
      <c r="D135" s="200" t="s">
        <v>333</v>
      </c>
      <c r="E135" s="195"/>
      <c r="F135" s="195"/>
      <c r="G135" s="196" t="s">
        <v>442</v>
      </c>
      <c r="H135" s="196" t="s">
        <v>479</v>
      </c>
      <c r="I135" s="197" t="s">
        <v>478</v>
      </c>
      <c r="J135" s="196" t="s">
        <v>356</v>
      </c>
      <c r="K135" s="225" t="s">
        <v>481</v>
      </c>
      <c r="L135" s="225"/>
      <c r="M135" s="225"/>
      <c r="N135" s="225"/>
      <c r="O135" s="225"/>
      <c r="P135" s="225"/>
      <c r="Q135" s="225"/>
      <c r="R135" s="225"/>
    </row>
  </sheetData>
  <customSheetViews>
    <customSheetView guid="{E57EC305-7DFD-421A-BB34-3221A8A7CE7D}" hiddenRows="1">
      <pageMargins left="0.7" right="0.7" top="0.75" bottom="0.75" header="0.3" footer="0.3"/>
    </customSheetView>
    <customSheetView guid="{63FDFA20-8B8F-4388-AE98-CEF9EC3DA1CE}" scale="85" showGridLines="0" topLeftCell="A89">
      <selection activeCell="N125" sqref="N125"/>
      <pageMargins left="0.7" right="0.7" top="0.75" bottom="0.75" header="0.3" footer="0.3"/>
    </customSheetView>
  </customSheetViews>
  <mergeCells count="121">
    <mergeCell ref="D17:I17"/>
    <mergeCell ref="B18:B20"/>
    <mergeCell ref="K36:R36"/>
    <mergeCell ref="K37:R37"/>
    <mergeCell ref="K35:R35"/>
    <mergeCell ref="K34:R34"/>
    <mergeCell ref="B21:B24"/>
    <mergeCell ref="B33:I33"/>
    <mergeCell ref="D16:I16"/>
    <mergeCell ref="K71:R71"/>
    <mergeCell ref="K72:R72"/>
    <mergeCell ref="K73:R73"/>
    <mergeCell ref="K74:R74"/>
    <mergeCell ref="K75:R75"/>
    <mergeCell ref="K76:R76"/>
    <mergeCell ref="K78:R78"/>
    <mergeCell ref="K79:R79"/>
    <mergeCell ref="K81:R81"/>
    <mergeCell ref="K80:R80"/>
    <mergeCell ref="K77:R77"/>
    <mergeCell ref="K58:R58"/>
    <mergeCell ref="K59:R59"/>
    <mergeCell ref="K60:R60"/>
    <mergeCell ref="K43:R43"/>
    <mergeCell ref="K44:R44"/>
    <mergeCell ref="K55:R55"/>
    <mergeCell ref="K38:R38"/>
    <mergeCell ref="K39:R39"/>
    <mergeCell ref="K40:R40"/>
    <mergeCell ref="K41:R41"/>
    <mergeCell ref="K42:R42"/>
    <mergeCell ref="K52:R52"/>
    <mergeCell ref="K53:R53"/>
    <mergeCell ref="K45:R45"/>
    <mergeCell ref="K46:R46"/>
    <mergeCell ref="K47:R47"/>
    <mergeCell ref="K48:R48"/>
    <mergeCell ref="K49:R49"/>
    <mergeCell ref="K50:R50"/>
    <mergeCell ref="K51:R51"/>
    <mergeCell ref="K56:R56"/>
    <mergeCell ref="K57:R57"/>
    <mergeCell ref="K54:R54"/>
    <mergeCell ref="K66:R66"/>
    <mergeCell ref="K67:R67"/>
    <mergeCell ref="K68:R68"/>
    <mergeCell ref="K69:R69"/>
    <mergeCell ref="K70:R70"/>
    <mergeCell ref="K61:R61"/>
    <mergeCell ref="K62:R62"/>
    <mergeCell ref="K63:R63"/>
    <mergeCell ref="K64:R64"/>
    <mergeCell ref="K65:R65"/>
    <mergeCell ref="K95:R95"/>
    <mergeCell ref="K87:R87"/>
    <mergeCell ref="K88:R88"/>
    <mergeCell ref="K89:R89"/>
    <mergeCell ref="K90:R90"/>
    <mergeCell ref="K91:R91"/>
    <mergeCell ref="K82:R82"/>
    <mergeCell ref="K83:R83"/>
    <mergeCell ref="K84:R84"/>
    <mergeCell ref="K85:R85"/>
    <mergeCell ref="K86:R86"/>
    <mergeCell ref="K94:R94"/>
    <mergeCell ref="K93:R93"/>
    <mergeCell ref="K92:R92"/>
    <mergeCell ref="K101:R101"/>
    <mergeCell ref="K102:R102"/>
    <mergeCell ref="K103:R103"/>
    <mergeCell ref="K104:R104"/>
    <mergeCell ref="K105:R105"/>
    <mergeCell ref="K98:R98"/>
    <mergeCell ref="K99:R99"/>
    <mergeCell ref="K100:R100"/>
    <mergeCell ref="K96:R96"/>
    <mergeCell ref="K97:R97"/>
    <mergeCell ref="K111:R111"/>
    <mergeCell ref="K112:R112"/>
    <mergeCell ref="K113:R113"/>
    <mergeCell ref="K114:R114"/>
    <mergeCell ref="K115:R115"/>
    <mergeCell ref="K106:R106"/>
    <mergeCell ref="K107:R107"/>
    <mergeCell ref="K108:R108"/>
    <mergeCell ref="K109:R109"/>
    <mergeCell ref="K110:R110"/>
    <mergeCell ref="K121:R121"/>
    <mergeCell ref="K122:R122"/>
    <mergeCell ref="K123:R123"/>
    <mergeCell ref="K124:R124"/>
    <mergeCell ref="K125:R125"/>
    <mergeCell ref="K116:R116"/>
    <mergeCell ref="K117:R117"/>
    <mergeCell ref="K118:R118"/>
    <mergeCell ref="K119:R119"/>
    <mergeCell ref="K120:R120"/>
    <mergeCell ref="K135:R135"/>
    <mergeCell ref="D18:I18"/>
    <mergeCell ref="J18:M18"/>
    <mergeCell ref="D19:I19"/>
    <mergeCell ref="J19:M19"/>
    <mergeCell ref="D20:I20"/>
    <mergeCell ref="J20:M20"/>
    <mergeCell ref="D21:I21"/>
    <mergeCell ref="J21:M21"/>
    <mergeCell ref="D22:I22"/>
    <mergeCell ref="J22:M22"/>
    <mergeCell ref="D23:I23"/>
    <mergeCell ref="J23:M23"/>
    <mergeCell ref="D24:I24"/>
    <mergeCell ref="J24:M24"/>
    <mergeCell ref="K130:R130"/>
    <mergeCell ref="K131:R131"/>
    <mergeCell ref="K132:R132"/>
    <mergeCell ref="K133:R133"/>
    <mergeCell ref="K134:R134"/>
    <mergeCell ref="K126:R126"/>
    <mergeCell ref="K127:R127"/>
    <mergeCell ref="K128:R128"/>
    <mergeCell ref="K129:R12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DF135-7E53-40B5-8FD1-393070E95530}">
  <dimension ref="A4:A17"/>
  <sheetViews>
    <sheetView zoomScaleNormal="100" workbookViewId="0">
      <selection activeCell="A29" sqref="A29"/>
    </sheetView>
  </sheetViews>
  <sheetFormatPr defaultRowHeight="12.5" x14ac:dyDescent="0.25"/>
  <cols>
    <col min="1" max="1" width="108.54296875" bestFit="1" customWidth="1"/>
  </cols>
  <sheetData>
    <row r="4" spans="1:1" ht="13" x14ac:dyDescent="0.3">
      <c r="A4" s="214" t="s">
        <v>530</v>
      </c>
    </row>
    <row r="5" spans="1:1" x14ac:dyDescent="0.25">
      <c r="A5" s="215" t="s">
        <v>532</v>
      </c>
    </row>
    <row r="6" spans="1:1" x14ac:dyDescent="0.25">
      <c r="A6" s="215" t="s">
        <v>534</v>
      </c>
    </row>
    <row r="7" spans="1:1" x14ac:dyDescent="0.25">
      <c r="A7" s="215" t="s">
        <v>529</v>
      </c>
    </row>
    <row r="8" spans="1:1" x14ac:dyDescent="0.25">
      <c r="A8" s="216" t="s">
        <v>531</v>
      </c>
    </row>
    <row r="9" spans="1:1" x14ac:dyDescent="0.25">
      <c r="A9" s="224" t="s">
        <v>533</v>
      </c>
    </row>
    <row r="13" spans="1:1" x14ac:dyDescent="0.25">
      <c r="A13" t="s">
        <v>535</v>
      </c>
    </row>
    <row r="14" spans="1:1" x14ac:dyDescent="0.25">
      <c r="A14" t="s">
        <v>540</v>
      </c>
    </row>
    <row r="15" spans="1:1" x14ac:dyDescent="0.25">
      <c r="A15" t="s">
        <v>536</v>
      </c>
    </row>
    <row r="16" spans="1:1" x14ac:dyDescent="0.25">
      <c r="A16" t="s">
        <v>537</v>
      </c>
    </row>
    <row r="17" spans="1:1" x14ac:dyDescent="0.25">
      <c r="A17" t="s">
        <v>539</v>
      </c>
    </row>
  </sheetData>
  <customSheetViews>
    <customSheetView guid="{E57EC305-7DFD-421A-BB34-3221A8A7CE7D}">
      <selection activeCell="A10" sqref="A10"/>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1:S20"/>
  <sheetViews>
    <sheetView workbookViewId="0">
      <selection activeCell="R9" sqref="R9"/>
    </sheetView>
  </sheetViews>
  <sheetFormatPr defaultColWidth="9.08984375" defaultRowHeight="14.5" x14ac:dyDescent="0.35"/>
  <cols>
    <col min="1" max="1" width="6" style="18" customWidth="1"/>
    <col min="2" max="16384" width="9.08984375" style="18"/>
  </cols>
  <sheetData>
    <row r="11" spans="2:19" x14ac:dyDescent="0.35">
      <c r="P11" s="19"/>
      <c r="Q11" s="19"/>
      <c r="R11" s="19"/>
      <c r="S11" s="19"/>
    </row>
    <row r="12" spans="2:19" ht="19.5" customHeight="1" x14ac:dyDescent="0.35">
      <c r="P12" s="19"/>
      <c r="Q12" s="19"/>
      <c r="R12" s="19"/>
      <c r="S12" s="19"/>
    </row>
    <row r="13" spans="2:19" ht="19.5" customHeight="1" x14ac:dyDescent="0.35">
      <c r="P13" s="19"/>
      <c r="Q13" s="19"/>
      <c r="R13" s="19"/>
      <c r="S13" s="19"/>
    </row>
    <row r="14" spans="2:19" s="99" customFormat="1" ht="30" customHeight="1" x14ac:dyDescent="0.25">
      <c r="B14" s="103" t="s">
        <v>257</v>
      </c>
      <c r="C14" s="100"/>
      <c r="D14" s="100"/>
      <c r="E14" s="100"/>
      <c r="F14" s="100"/>
      <c r="G14" s="100"/>
      <c r="H14" s="100"/>
      <c r="I14" s="100"/>
      <c r="J14" s="100"/>
      <c r="K14" s="100"/>
      <c r="L14" s="100"/>
      <c r="M14" s="100"/>
      <c r="N14" s="100"/>
      <c r="O14" s="100"/>
      <c r="P14" s="101"/>
      <c r="Q14" s="101"/>
      <c r="R14" s="101"/>
      <c r="S14" s="102"/>
    </row>
    <row r="15" spans="2:19" s="19" customFormat="1" ht="15.5" x14ac:dyDescent="0.35">
      <c r="B15" s="20"/>
      <c r="C15" s="20"/>
      <c r="D15" s="20"/>
      <c r="E15" s="20"/>
      <c r="F15" s="20"/>
      <c r="G15" s="20"/>
      <c r="H15" s="20"/>
      <c r="I15" s="20"/>
      <c r="J15" s="20"/>
      <c r="K15" s="20"/>
      <c r="L15" s="20"/>
      <c r="M15" s="20"/>
      <c r="N15" s="20"/>
      <c r="O15" s="20"/>
      <c r="P15" s="20"/>
      <c r="Q15" s="20"/>
      <c r="R15" s="20"/>
    </row>
    <row r="16" spans="2:19" x14ac:dyDescent="0.35">
      <c r="P16" s="19"/>
      <c r="Q16" s="19"/>
      <c r="R16" s="19"/>
      <c r="S16" s="19"/>
    </row>
    <row r="17" spans="16:19" x14ac:dyDescent="0.35">
      <c r="P17" s="19"/>
      <c r="Q17" s="19"/>
      <c r="R17" s="19"/>
      <c r="S17" s="19"/>
    </row>
    <row r="18" spans="16:19" x14ac:dyDescent="0.35">
      <c r="P18" s="19"/>
      <c r="Q18" s="19"/>
      <c r="R18" s="19"/>
      <c r="S18" s="19"/>
    </row>
    <row r="19" spans="16:19" x14ac:dyDescent="0.35">
      <c r="P19" s="19"/>
      <c r="Q19" s="19"/>
      <c r="R19" s="19"/>
      <c r="S19" s="19"/>
    </row>
    <row r="20" spans="16:19" x14ac:dyDescent="0.35">
      <c r="P20" s="19"/>
      <c r="Q20" s="19"/>
      <c r="R20" s="19"/>
      <c r="S20" s="19"/>
    </row>
  </sheetData>
  <sheetProtection selectLockedCells="1" selectUnlockedCells="1"/>
  <customSheetViews>
    <customSheetView guid="{E57EC305-7DFD-421A-BB34-3221A8A7CE7D}">
      <pageMargins left="0.7" right="0.7" top="0.75" bottom="0.75" header="0.3" footer="0.3"/>
      <pageSetup paperSize="9" orientation="portrait" horizontalDpi="1200" verticalDpi="1200" r:id="rId1"/>
    </customSheetView>
    <customSheetView guid="{63FDFA20-8B8F-4388-AE98-CEF9EC3DA1CE}" showGridLines="0" showRowCol="0">
      <selection activeCell="T23" sqref="T23"/>
      <pageMargins left="0.7" right="0.7" top="0.75" bottom="0.75" header="0.3" footer="0.3"/>
      <pageSetup paperSize="9" orientation="portrait" horizontalDpi="1200" verticalDpi="1200" r:id="rId2"/>
    </customSheetView>
  </customSheetViews>
  <pageMargins left="0.7" right="0.7" top="0.75" bottom="0.75" header="0.3" footer="0.3"/>
  <pageSetup paperSize="9" orientation="portrait" horizontalDpi="1200" verticalDpi="1200"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64"/>
  <sheetViews>
    <sheetView showGridLines="0" showRowColHeaders="0" workbookViewId="0">
      <selection activeCell="R2" sqref="R2"/>
    </sheetView>
  </sheetViews>
  <sheetFormatPr defaultColWidth="9.08984375" defaultRowHeight="12.5" x14ac:dyDescent="0.25"/>
  <cols>
    <col min="1" max="1" width="1.453125" style="28" customWidth="1"/>
    <col min="2" max="2" width="77.36328125" style="28" customWidth="1"/>
    <col min="3" max="3" width="20.36328125" style="28" customWidth="1"/>
    <col min="4" max="4" width="43.90625" style="28" customWidth="1"/>
    <col min="5" max="5" width="22.08984375" style="28" hidden="1" customWidth="1"/>
    <col min="6" max="6" width="17.453125" style="28" hidden="1" customWidth="1"/>
    <col min="7" max="9" width="9.08984375" style="28" hidden="1" customWidth="1"/>
    <col min="10" max="10" width="12.6328125" style="28" hidden="1" customWidth="1"/>
    <col min="11" max="15" width="9.08984375" style="28" hidden="1" customWidth="1"/>
    <col min="16" max="16384" width="9.08984375" style="28"/>
  </cols>
  <sheetData>
    <row r="1" spans="2:13" s="25" customFormat="1" ht="14" x14ac:dyDescent="0.3">
      <c r="E1" s="26" t="s">
        <v>196</v>
      </c>
      <c r="F1" s="25" t="s">
        <v>196</v>
      </c>
      <c r="G1" s="25" t="s">
        <v>196</v>
      </c>
      <c r="H1" s="25" t="s">
        <v>196</v>
      </c>
      <c r="I1" s="25" t="s">
        <v>196</v>
      </c>
      <c r="J1" s="25" t="s">
        <v>196</v>
      </c>
      <c r="K1" s="25" t="s">
        <v>196</v>
      </c>
      <c r="L1" s="25" t="s">
        <v>196</v>
      </c>
      <c r="M1" s="25" t="s">
        <v>196</v>
      </c>
    </row>
    <row r="2" spans="2:13" s="25" customFormat="1" ht="103.5" customHeight="1" x14ac:dyDescent="0.5">
      <c r="B2" s="27"/>
      <c r="C2" s="27"/>
      <c r="E2" s="26"/>
    </row>
    <row r="3" spans="2:13" s="25" customFormat="1" ht="72.75" customHeight="1" x14ac:dyDescent="0.5">
      <c r="B3" s="27"/>
      <c r="C3" s="27"/>
      <c r="E3" s="26"/>
    </row>
    <row r="4" spans="2:13" s="25" customFormat="1" ht="9.75" customHeight="1" x14ac:dyDescent="0.5">
      <c r="B4" s="27"/>
      <c r="C4" s="27"/>
      <c r="E4" s="26"/>
    </row>
    <row r="5" spans="2:13" s="25" customFormat="1" ht="14" x14ac:dyDescent="0.3">
      <c r="B5" s="69" t="s">
        <v>198</v>
      </c>
      <c r="C5" s="70"/>
      <c r="D5" s="33"/>
      <c r="E5" s="26"/>
    </row>
    <row r="7" spans="2:13" ht="13" x14ac:dyDescent="0.3">
      <c r="B7" s="37" t="s">
        <v>259</v>
      </c>
      <c r="C7" s="37"/>
      <c r="D7" s="37"/>
    </row>
    <row r="9" spans="2:13" ht="25.5" customHeight="1" x14ac:dyDescent="0.5">
      <c r="B9" s="35" t="s">
        <v>207</v>
      </c>
      <c r="C9" s="35"/>
      <c r="D9" s="36"/>
    </row>
    <row r="10" spans="2:13" customFormat="1" ht="25.5" customHeight="1" x14ac:dyDescent="0.4">
      <c r="B10" s="218" t="s">
        <v>298</v>
      </c>
      <c r="C10" s="219"/>
      <c r="D10" s="220"/>
    </row>
    <row r="11" spans="2:13" customFormat="1" ht="25.5" customHeight="1" x14ac:dyDescent="0.25">
      <c r="B11" s="30" t="s">
        <v>527</v>
      </c>
      <c r="C11" s="217"/>
      <c r="D11" s="73" t="s">
        <v>42</v>
      </c>
    </row>
    <row r="12" spans="2:13" customFormat="1" ht="25.5" customHeight="1" x14ac:dyDescent="0.25">
      <c r="B12" s="30" t="s">
        <v>526</v>
      </c>
      <c r="C12" s="221"/>
      <c r="D12" s="73" t="s">
        <v>210</v>
      </c>
    </row>
    <row r="13" spans="2:13" customFormat="1" ht="25.5" customHeight="1" x14ac:dyDescent="0.25">
      <c r="B13" s="30" t="s">
        <v>525</v>
      </c>
      <c r="C13" s="217"/>
      <c r="D13" s="73" t="s">
        <v>210</v>
      </c>
    </row>
    <row r="14" spans="2:13" customFormat="1" ht="25.5" customHeight="1" x14ac:dyDescent="0.3">
      <c r="B14" s="30" t="s">
        <v>524</v>
      </c>
      <c r="C14" s="217"/>
      <c r="D14" s="73" t="s">
        <v>210</v>
      </c>
      <c r="H14" s="214" t="s">
        <v>226</v>
      </c>
    </row>
    <row r="15" spans="2:13" customFormat="1" ht="25.5" customHeight="1" x14ac:dyDescent="0.25">
      <c r="B15" s="30" t="s">
        <v>523</v>
      </c>
      <c r="C15" s="217"/>
      <c r="D15" s="73" t="s">
        <v>210</v>
      </c>
      <c r="H15" t="s">
        <v>227</v>
      </c>
      <c r="I15" t="s">
        <v>484</v>
      </c>
    </row>
    <row r="16" spans="2:13" ht="18" customHeight="1" x14ac:dyDescent="0.5">
      <c r="B16" s="168"/>
      <c r="C16" s="35"/>
      <c r="D16" s="149"/>
      <c r="H16" s="28" t="s">
        <v>210</v>
      </c>
      <c r="J16" s="28">
        <v>0</v>
      </c>
    </row>
    <row r="17" spans="2:11" ht="24.75" customHeight="1" x14ac:dyDescent="0.4">
      <c r="B17" s="68" t="s">
        <v>176</v>
      </c>
      <c r="C17" s="68"/>
      <c r="D17" s="150"/>
      <c r="E17" s="28" t="s">
        <v>219</v>
      </c>
      <c r="H17" s="42">
        <v>0.2</v>
      </c>
      <c r="I17" s="29" t="s">
        <v>229</v>
      </c>
      <c r="J17" s="29">
        <v>1</v>
      </c>
    </row>
    <row r="18" spans="2:11" ht="18" customHeight="1" x14ac:dyDescent="0.3">
      <c r="B18" s="120" t="s">
        <v>2</v>
      </c>
      <c r="C18" s="72"/>
      <c r="D18" s="151"/>
      <c r="H18" s="42">
        <v>0.3</v>
      </c>
      <c r="I18" s="29" t="s">
        <v>230</v>
      </c>
      <c r="J18" s="29">
        <v>2</v>
      </c>
    </row>
    <row r="19" spans="2:11" s="29" customFormat="1" ht="30" customHeight="1" x14ac:dyDescent="0.25">
      <c r="B19" s="30" t="s">
        <v>123</v>
      </c>
      <c r="C19" s="30"/>
      <c r="D19" s="73" t="s">
        <v>210</v>
      </c>
      <c r="E19" s="28" t="str">
        <f>IF(D19="no","error","")</f>
        <v/>
      </c>
      <c r="F19" s="28"/>
      <c r="H19" s="42">
        <v>0.4</v>
      </c>
      <c r="I19" s="29" t="s">
        <v>239</v>
      </c>
      <c r="J19" s="29">
        <v>3</v>
      </c>
    </row>
    <row r="20" spans="2:11" s="29" customFormat="1" ht="30" customHeight="1" x14ac:dyDescent="0.25">
      <c r="B20" s="30" t="s">
        <v>201</v>
      </c>
      <c r="C20" s="30"/>
      <c r="D20" s="71" t="s">
        <v>210</v>
      </c>
      <c r="E20" s="28" t="str">
        <f>IF(D20="no","error","")</f>
        <v/>
      </c>
      <c r="F20" s="28"/>
      <c r="I20" s="29" t="s">
        <v>248</v>
      </c>
      <c r="J20" s="29">
        <v>0</v>
      </c>
    </row>
    <row r="21" spans="2:11" s="29" customFormat="1" ht="30" customHeight="1" x14ac:dyDescent="0.25">
      <c r="B21" s="30" t="s">
        <v>209</v>
      </c>
      <c r="C21" s="30"/>
      <c r="D21" s="80" t="s">
        <v>210</v>
      </c>
      <c r="E21" s="146">
        <f>IF(OR(D19="no",D20="no"),0,VLOOKUP(D21,H16:J19,3))</f>
        <v>0</v>
      </c>
      <c r="F21" s="146"/>
      <c r="G21" s="116"/>
      <c r="H21" s="116"/>
      <c r="I21" s="146" t="s">
        <v>210</v>
      </c>
      <c r="J21" s="29">
        <v>0</v>
      </c>
    </row>
    <row r="22" spans="2:11" ht="18" customHeight="1" x14ac:dyDescent="0.3">
      <c r="B22" s="120" t="s">
        <v>290</v>
      </c>
      <c r="C22" s="72"/>
      <c r="D22" s="151"/>
      <c r="E22" s="146"/>
      <c r="F22" s="146"/>
      <c r="G22" s="146"/>
      <c r="H22" s="147" t="s">
        <v>220</v>
      </c>
      <c r="I22" s="146"/>
    </row>
    <row r="23" spans="2:11" s="29" customFormat="1" ht="30" customHeight="1" x14ac:dyDescent="0.25">
      <c r="B23" s="30" t="s">
        <v>211</v>
      </c>
      <c r="C23" s="30"/>
      <c r="D23" s="73" t="s">
        <v>210</v>
      </c>
      <c r="E23" s="116">
        <f>I23</f>
        <v>0</v>
      </c>
      <c r="F23" s="146"/>
      <c r="G23" s="116"/>
      <c r="H23" s="114" t="s">
        <v>221</v>
      </c>
      <c r="I23" s="148">
        <f>IF(D23="yes",2,0)</f>
        <v>0</v>
      </c>
      <c r="J23" s="121"/>
    </row>
    <row r="24" spans="2:11" s="115" customFormat="1" ht="30" customHeight="1" x14ac:dyDescent="0.25">
      <c r="B24" s="84" t="s">
        <v>317</v>
      </c>
      <c r="C24" s="30"/>
      <c r="D24" s="154"/>
      <c r="E24" s="116"/>
      <c r="F24" s="146"/>
      <c r="G24" s="116"/>
      <c r="H24" s="114" t="s">
        <v>222</v>
      </c>
      <c r="I24" s="114"/>
      <c r="J24" s="121"/>
    </row>
    <row r="25" spans="2:11" s="29" customFormat="1" ht="30" customHeight="1" x14ac:dyDescent="0.25">
      <c r="B25" s="30" t="s">
        <v>316</v>
      </c>
      <c r="C25" s="30"/>
      <c r="D25" s="79" t="s">
        <v>210</v>
      </c>
      <c r="E25" s="146">
        <f>IF(D28= "",(IF(D23="yes",0,IF(OR(I25=0,I26=0),0,IF(D25="yes",(I25+I26),IF(OR(I25=0,I26=0,E30=0,),0,IF((I25+I26+E30&gt;2),2,(I25+I26+E30))))))),0)</f>
        <v>0</v>
      </c>
      <c r="F25" s="146"/>
      <c r="G25" s="116"/>
      <c r="H25" s="114" t="s">
        <v>223</v>
      </c>
      <c r="I25" s="114">
        <f>IF(OR(D26="Select Option",D26="less than 4 star"),0,1)</f>
        <v>0</v>
      </c>
      <c r="J25" s="121">
        <f>IF(D26="No air-conditioning included within the project scope",1,0)</f>
        <v>0</v>
      </c>
    </row>
    <row r="26" spans="2:11" s="29" customFormat="1" ht="30" customHeight="1" x14ac:dyDescent="0.25">
      <c r="B26" s="153" t="s">
        <v>319</v>
      </c>
      <c r="C26" s="30"/>
      <c r="D26" s="73" t="s">
        <v>210</v>
      </c>
      <c r="E26" s="146"/>
      <c r="F26" s="146"/>
      <c r="G26" s="116"/>
      <c r="H26" s="114" t="s">
        <v>224</v>
      </c>
      <c r="I26" s="114">
        <f>IF(OR(D27="Select Option",D27="less than 4 star"),0,1)</f>
        <v>0</v>
      </c>
      <c r="J26" s="121">
        <f>IF(D27="No heating equipment included within the project scope",1,0)</f>
        <v>0</v>
      </c>
      <c r="K26" s="122" t="str">
        <f>IF(AND(D25="yes",(J25+J26)&gt;1),"Air-conditioning or heating equipment with a label must be present for this option to be claimed","")</f>
        <v/>
      </c>
    </row>
    <row r="27" spans="2:11" s="29" customFormat="1" ht="30" customHeight="1" x14ac:dyDescent="0.25">
      <c r="B27" s="153" t="s">
        <v>318</v>
      </c>
      <c r="C27" s="30"/>
      <c r="D27" s="155" t="s">
        <v>210</v>
      </c>
      <c r="E27" s="146"/>
      <c r="F27" s="146"/>
      <c r="G27" s="116"/>
    </row>
    <row r="28" spans="2:11" s="29" customFormat="1" ht="27" customHeight="1" x14ac:dyDescent="0.25">
      <c r="B28" s="30"/>
      <c r="C28" s="30"/>
      <c r="D28" s="83" t="str">
        <f>K26</f>
        <v/>
      </c>
      <c r="E28" s="146"/>
      <c r="F28" s="146"/>
      <c r="G28" s="116"/>
      <c r="H28" s="116"/>
      <c r="I28" s="116"/>
    </row>
    <row r="29" spans="2:11" s="115" customFormat="1" ht="30" customHeight="1" x14ac:dyDescent="0.25">
      <c r="B29" s="84" t="s">
        <v>311</v>
      </c>
      <c r="C29" s="30"/>
      <c r="D29" s="152"/>
      <c r="E29" s="146"/>
      <c r="F29" s="146"/>
      <c r="G29" s="116"/>
      <c r="H29" s="116" t="s">
        <v>297</v>
      </c>
      <c r="I29" s="116"/>
    </row>
    <row r="30" spans="2:11" s="115" customFormat="1" ht="30" customHeight="1" x14ac:dyDescent="0.25">
      <c r="B30" s="30" t="s">
        <v>292</v>
      </c>
      <c r="C30" s="30"/>
      <c r="D30" s="73" t="s">
        <v>210</v>
      </c>
      <c r="E30" s="146">
        <f>IF(SUM(I30:I32)&gt;2,2,SUM(I30:I32))</f>
        <v>0</v>
      </c>
      <c r="F30" s="146"/>
      <c r="G30" s="116"/>
      <c r="H30" s="116" t="s">
        <v>294</v>
      </c>
      <c r="I30" s="116">
        <f>IF(D30="yes",1,0)</f>
        <v>0</v>
      </c>
    </row>
    <row r="31" spans="2:11" s="115" customFormat="1" ht="30" customHeight="1" x14ac:dyDescent="0.25">
      <c r="B31" s="30" t="s">
        <v>291</v>
      </c>
      <c r="C31" s="30"/>
      <c r="D31" s="73" t="s">
        <v>210</v>
      </c>
      <c r="E31" s="28"/>
      <c r="F31" s="28"/>
      <c r="H31" s="115" t="s">
        <v>295</v>
      </c>
      <c r="I31" s="115">
        <f t="shared" ref="I31:I32" si="0">IF(D31="yes",1,0)</f>
        <v>0</v>
      </c>
    </row>
    <row r="32" spans="2:11" s="29" customFormat="1" ht="50" x14ac:dyDescent="0.25">
      <c r="B32" s="30" t="s">
        <v>293</v>
      </c>
      <c r="C32" s="30"/>
      <c r="D32" s="123" t="s">
        <v>210</v>
      </c>
      <c r="E32" s="28"/>
      <c r="F32" s="28"/>
      <c r="H32" s="29" t="s">
        <v>296</v>
      </c>
      <c r="I32" s="115">
        <f t="shared" si="0"/>
        <v>0</v>
      </c>
    </row>
    <row r="33" spans="2:13" ht="18" customHeight="1" x14ac:dyDescent="0.3">
      <c r="B33" s="120" t="s">
        <v>289</v>
      </c>
      <c r="C33" s="72"/>
      <c r="D33" s="151"/>
    </row>
    <row r="34" spans="2:13" s="29" customFormat="1" ht="97.5" customHeight="1" x14ac:dyDescent="0.25">
      <c r="B34" s="30" t="s">
        <v>212</v>
      </c>
      <c r="C34" s="30"/>
      <c r="D34" s="73" t="s">
        <v>210</v>
      </c>
      <c r="E34" s="28">
        <f>IF(D34="yes",1,0)</f>
        <v>0</v>
      </c>
      <c r="F34" s="28"/>
    </row>
    <row r="35" spans="2:13" ht="18" customHeight="1" x14ac:dyDescent="0.3">
      <c r="B35" s="120" t="s">
        <v>288</v>
      </c>
      <c r="C35" s="72"/>
      <c r="D35" s="151"/>
      <c r="G35" s="31"/>
    </row>
    <row r="36" spans="2:13" ht="41.25" customHeight="1" x14ac:dyDescent="0.25">
      <c r="B36" s="30" t="s">
        <v>213</v>
      </c>
      <c r="C36" s="30"/>
      <c r="D36" s="73" t="s">
        <v>210</v>
      </c>
      <c r="E36" s="28">
        <f t="shared" ref="E36:E40" si="1">IF(D36="yes",1,0)</f>
        <v>0</v>
      </c>
      <c r="G36" s="31"/>
    </row>
    <row r="37" spans="2:13" ht="41.25" customHeight="1" x14ac:dyDescent="0.25">
      <c r="B37" s="30" t="s">
        <v>214</v>
      </c>
      <c r="C37" s="30"/>
      <c r="D37" s="73" t="s">
        <v>210</v>
      </c>
      <c r="E37" s="28">
        <f t="shared" si="1"/>
        <v>0</v>
      </c>
      <c r="G37" s="31"/>
    </row>
    <row r="38" spans="2:13" ht="41.25" customHeight="1" x14ac:dyDescent="0.25">
      <c r="B38" s="30" t="s">
        <v>215</v>
      </c>
      <c r="C38" s="30"/>
      <c r="D38" s="123" t="s">
        <v>210</v>
      </c>
      <c r="E38" s="28">
        <f t="shared" si="1"/>
        <v>0</v>
      </c>
      <c r="G38" s="31"/>
    </row>
    <row r="39" spans="2:13" ht="18" customHeight="1" x14ac:dyDescent="0.3">
      <c r="B39" s="120" t="s">
        <v>287</v>
      </c>
      <c r="C39" s="72"/>
      <c r="D39" s="151"/>
      <c r="G39" s="31"/>
    </row>
    <row r="40" spans="2:13" ht="79.5" customHeight="1" x14ac:dyDescent="0.25">
      <c r="B40" s="30" t="s">
        <v>216</v>
      </c>
      <c r="C40" s="30"/>
      <c r="D40" s="73" t="s">
        <v>210</v>
      </c>
      <c r="E40" s="28">
        <f t="shared" si="1"/>
        <v>0</v>
      </c>
      <c r="G40" s="31"/>
    </row>
    <row r="41" spans="2:13" ht="18" customHeight="1" x14ac:dyDescent="0.3">
      <c r="B41" s="120" t="s">
        <v>217</v>
      </c>
      <c r="C41" s="72"/>
      <c r="D41" s="151"/>
      <c r="G41" s="31"/>
      <c r="H41" s="201" t="s">
        <v>485</v>
      </c>
      <c r="I41" s="201"/>
      <c r="L41" s="201" t="s">
        <v>486</v>
      </c>
      <c r="M41" s="201"/>
    </row>
    <row r="42" spans="2:13" ht="39.9" customHeight="1" x14ac:dyDescent="0.25">
      <c r="B42" s="30" t="s">
        <v>218</v>
      </c>
      <c r="C42" s="30"/>
      <c r="D42" s="202"/>
      <c r="G42" s="31"/>
      <c r="H42" s="201" t="s">
        <v>232</v>
      </c>
      <c r="I42" s="201" t="e">
        <f>VLOOKUP(D42,I17:J21,2)</f>
        <v>#N/A</v>
      </c>
      <c r="L42" s="201">
        <v>2</v>
      </c>
      <c r="M42" s="201">
        <f>IF(AND($H$50&gt;=4, $D$42&gt;=0.5, $D$43&gt;=5), L42, 0)</f>
        <v>0</v>
      </c>
    </row>
    <row r="43" spans="2:13" ht="30" customHeight="1" x14ac:dyDescent="0.25">
      <c r="B43" s="30" t="s">
        <v>310</v>
      </c>
      <c r="C43" s="30"/>
      <c r="D43" s="73"/>
      <c r="E43" s="28" t="e">
        <f>I42*I43</f>
        <v>#N/A</v>
      </c>
      <c r="G43" s="31"/>
      <c r="H43" s="201" t="s">
        <v>233</v>
      </c>
      <c r="I43" s="201">
        <f>IF(D43&gt;5,1,D43/5)</f>
        <v>0</v>
      </c>
      <c r="L43" s="201">
        <v>5</v>
      </c>
      <c r="M43" s="201">
        <f>IF(AND($H$50&gt;=5, $D$42&gt;=1, $D$43&gt;=5), L43, 0)</f>
        <v>0</v>
      </c>
    </row>
    <row r="44" spans="2:13" ht="18" customHeight="1" x14ac:dyDescent="0.3">
      <c r="B44" s="120" t="s">
        <v>192</v>
      </c>
      <c r="C44" s="72"/>
      <c r="D44" s="72"/>
    </row>
    <row r="45" spans="2:13" ht="18" customHeight="1" x14ac:dyDescent="0.25">
      <c r="B45" s="32" t="s">
        <v>2</v>
      </c>
      <c r="C45" s="32"/>
      <c r="D45" s="125">
        <f>E21</f>
        <v>0</v>
      </c>
      <c r="H45" s="28" t="s">
        <v>339</v>
      </c>
      <c r="I45" s="28" t="s">
        <v>340</v>
      </c>
    </row>
    <row r="46" spans="2:13" ht="18" customHeight="1" x14ac:dyDescent="0.25">
      <c r="B46" s="32" t="s">
        <v>202</v>
      </c>
      <c r="C46" s="32"/>
      <c r="D46" s="125">
        <f>IF(E23+E25+E30&gt;2,2,SUM(E23,E25,E30))</f>
        <v>0</v>
      </c>
      <c r="H46" s="28" t="s">
        <v>341</v>
      </c>
      <c r="I46" s="28">
        <f>IF(AND($D$15=H46, $H$50&gt;0), 1,0)</f>
        <v>0</v>
      </c>
    </row>
    <row r="47" spans="2:13" ht="18" customHeight="1" x14ac:dyDescent="0.25">
      <c r="B47" s="32" t="s">
        <v>206</v>
      </c>
      <c r="C47" s="32"/>
      <c r="D47" s="125">
        <f>E34</f>
        <v>0</v>
      </c>
      <c r="H47" s="28" t="s">
        <v>342</v>
      </c>
      <c r="I47" s="28">
        <f>IF(AND($D$15=H47, $H$50&gt;3), 1,0)</f>
        <v>0</v>
      </c>
    </row>
    <row r="48" spans="2:13" ht="18" customHeight="1" x14ac:dyDescent="0.25">
      <c r="B48" s="32" t="s">
        <v>204</v>
      </c>
      <c r="C48" s="32"/>
      <c r="D48" s="125">
        <f>SUM(E36:E38)</f>
        <v>0</v>
      </c>
      <c r="H48" s="28" t="s">
        <v>343</v>
      </c>
      <c r="I48" s="28">
        <f>IF(AND(D15=H48, $H$50&gt;6), 1,0)</f>
        <v>0</v>
      </c>
    </row>
    <row r="49" spans="1:9" ht="18" customHeight="1" x14ac:dyDescent="0.25">
      <c r="B49" s="32" t="s">
        <v>205</v>
      </c>
      <c r="C49" s="32"/>
      <c r="D49" s="125">
        <f>$E$40</f>
        <v>0</v>
      </c>
    </row>
    <row r="50" spans="1:9" ht="18" customHeight="1" x14ac:dyDescent="0.25">
      <c r="B50" s="32" t="str">
        <f>B41</f>
        <v>Accredited GreenPower®</v>
      </c>
      <c r="C50" s="32"/>
      <c r="D50" s="125">
        <f>MAX(M42:M43)</f>
        <v>0</v>
      </c>
      <c r="H50" s="28">
        <f>IF(SUM(D45:D49)&gt;8,8,SUM(D45:D49))</f>
        <v>0</v>
      </c>
      <c r="I50" s="28" t="e">
        <f>VLOOKUP(D15,H46:I48, 2,FALSE)</f>
        <v>#N/A</v>
      </c>
    </row>
    <row r="51" spans="1:9" ht="18" customHeight="1" thickBot="1" x14ac:dyDescent="0.3">
      <c r="B51" s="44" t="s">
        <v>38</v>
      </c>
      <c r="C51" s="44"/>
      <c r="D51" s="126" t="str">
        <f>IF(COUNTIF(D11:D14,"Select Option"),"Complete Conditional Requirements",IF(COUNTIF(D11:D14,"No"),0,IF(SUM(D45:D50)&gt;8,8,SUM(D45:D50))))</f>
        <v>Complete Conditional Requirements</v>
      </c>
    </row>
    <row r="52" spans="1:9" ht="18" customHeight="1" thickTop="1" thickBot="1" x14ac:dyDescent="0.3">
      <c r="B52" s="44" t="s">
        <v>247</v>
      </c>
      <c r="C52" s="44"/>
      <c r="D52" s="40">
        <v>10</v>
      </c>
    </row>
    <row r="53" spans="1:9" ht="13" thickTop="1" x14ac:dyDescent="0.25"/>
    <row r="55" spans="1:9" customFormat="1" x14ac:dyDescent="0.25">
      <c r="B55" t="s">
        <v>345</v>
      </c>
      <c r="D55" t="e">
        <f>IF($I$50=1, "Conditional Requirement Met", "Conditional Requirement not met")</f>
        <v>#N/A</v>
      </c>
    </row>
    <row r="56" spans="1:9" ht="16.5" customHeight="1" x14ac:dyDescent="0.25"/>
    <row r="57" spans="1:9" ht="18" customHeight="1" x14ac:dyDescent="0.25"/>
    <row r="58" spans="1:9" ht="18" customHeight="1" x14ac:dyDescent="0.25"/>
    <row r="59" spans="1:9" x14ac:dyDescent="0.25">
      <c r="A59" s="29"/>
      <c r="B59" s="29"/>
      <c r="C59" s="29"/>
      <c r="D59" s="29"/>
      <c r="E59" s="29"/>
      <c r="F59" s="29"/>
      <c r="G59" s="29"/>
      <c r="H59" s="29"/>
    </row>
    <row r="60" spans="1:9" s="29" customFormat="1" ht="18" customHeight="1" x14ac:dyDescent="0.25">
      <c r="A60" s="28"/>
      <c r="B60" s="28"/>
      <c r="C60" s="28"/>
      <c r="D60" s="28"/>
      <c r="E60" s="28"/>
      <c r="F60" s="28"/>
      <c r="G60" s="28"/>
      <c r="H60" s="28"/>
    </row>
    <row r="62" spans="1:9" ht="18" customHeight="1" x14ac:dyDescent="0.25"/>
    <row r="63" spans="1:9" ht="18" customHeight="1" x14ac:dyDescent="0.25"/>
    <row r="64" spans="1:9" ht="18" customHeight="1" x14ac:dyDescent="0.25"/>
  </sheetData>
  <customSheetViews>
    <customSheetView guid="{E57EC305-7DFD-421A-BB34-3221A8A7CE7D}" showGridLines="0" showRowCol="0" hiddenColumns="1">
      <selection activeCell="Q7" sqref="Q7"/>
      <pageMargins left="0.7" right="0.7" top="0.75" bottom="0.75" header="0.3" footer="0.3"/>
      <pageSetup paperSize="9" orientation="portrait" r:id="rId1"/>
    </customSheetView>
    <customSheetView guid="{63FDFA20-8B8F-4388-AE98-CEF9EC3DA1CE}" showGridLines="0" topLeftCell="B34">
      <selection activeCell="H41" sqref="H41"/>
      <pageMargins left="0.7" right="0.7" top="0.75" bottom="0.75" header="0.3" footer="0.3"/>
      <pageSetup paperSize="9" orientation="portrait" r:id="rId2"/>
    </customSheetView>
  </customSheetViews>
  <conditionalFormatting sqref="B25:D32">
    <cfRule type="expression" dxfId="9" priority="16">
      <formula>$D$23="Yes"</formula>
    </cfRule>
  </conditionalFormatting>
  <conditionalFormatting sqref="B28:C28 B26:D27">
    <cfRule type="expression" dxfId="8" priority="11">
      <formula>$D$25="NA"</formula>
    </cfRule>
  </conditionalFormatting>
  <conditionalFormatting sqref="B29:D32">
    <cfRule type="expression" dxfId="7" priority="5">
      <formula>$D$25="Yes"</formula>
    </cfRule>
  </conditionalFormatting>
  <conditionalFormatting sqref="B24">
    <cfRule type="expression" dxfId="6" priority="3">
      <formula>$D$23="Yes"</formula>
    </cfRule>
  </conditionalFormatting>
  <conditionalFormatting sqref="B24">
    <cfRule type="expression" dxfId="5" priority="2">
      <formula>$D$25="Yes"</formula>
    </cfRule>
  </conditionalFormatting>
  <conditionalFormatting sqref="B26:D28">
    <cfRule type="expression" dxfId="4" priority="1">
      <formula>$D$25="No"</formula>
    </cfRule>
  </conditionalFormatting>
  <dataValidations xWindow="931" yWindow="612" count="8">
    <dataValidation type="list" allowBlank="1" showInputMessage="1" showErrorMessage="1" sqref="D19 D23 D11:D15" xr:uid="{00000000-0002-0000-0200-000000000000}">
      <formula1>"Select Option, Yes, No"</formula1>
    </dataValidation>
    <dataValidation type="list" allowBlank="1" showInputMessage="1" showErrorMessage="1" sqref="D21" xr:uid="{00000000-0002-0000-0200-000001000000}">
      <formula1>"Select Option,20%,30%,40%"</formula1>
    </dataValidation>
    <dataValidation type="list" operator="greaterThanOrEqual" allowBlank="1" showInputMessage="1" showErrorMessage="1" sqref="D27" xr:uid="{00000000-0002-0000-0200-000002000000}">
      <formula1>"Select Option,No heating equipment included within the project scope,less than 4 star,4 star,4.5 star,5 star,5.5 star,6 star,6.5 star,7 star,7.5 star,8 star,8.5 star,9 star,9.5 star,10 star"</formula1>
    </dataValidation>
    <dataValidation type="whole" operator="greaterThan" allowBlank="1" showInputMessage="1" showErrorMessage="1" errorTitle="Enter a whole number" error="Please enter the number of years for the supply contract" sqref="D43" xr:uid="{00000000-0002-0000-0200-000003000000}">
      <formula1>0</formula1>
    </dataValidation>
    <dataValidation type="list" operator="greaterThanOrEqual" allowBlank="1" showInputMessage="1" showErrorMessage="1" sqref="D26" xr:uid="{00000000-0002-0000-0200-000004000000}">
      <formula1>"Select Option,No air-conditioning included within the project scope,less than 4 star,4 star,4.5 star,5 star,5.5 star,6 star,6.5 star,7 star,7.5 star,8 star,8.5 star,9 star,9.5 star,10 star"</formula1>
    </dataValidation>
    <dataValidation type="list" allowBlank="1" showInputMessage="1" showErrorMessage="1" sqref="D25 D34 D40 D36:D38" xr:uid="{00000000-0002-0000-0200-000005000000}">
      <formula1>"Select Option,Yes,No,NA"</formula1>
    </dataValidation>
    <dataValidation type="list" allowBlank="1" showInputMessage="1" showErrorMessage="1" sqref="D20" xr:uid="{00000000-0002-0000-0200-000006000000}">
      <formula1>"Select Option, Yes, No, NA"</formula1>
    </dataValidation>
    <dataValidation type="list" allowBlank="1" showInputMessage="1" showErrorMessage="1" sqref="D30:D32" xr:uid="{00000000-0002-0000-0200-000007000000}">
      <formula1>"Select Option,Yes,NA"</formula1>
    </dataValidation>
  </dataValidations>
  <pageMargins left="0.7" right="0.7" top="0.75" bottom="0.75" header="0.3" footer="0.3"/>
  <pageSetup paperSize="9" orientation="portrait"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57"/>
  <sheetViews>
    <sheetView workbookViewId="0"/>
  </sheetViews>
  <sheetFormatPr defaultColWidth="9.08984375" defaultRowHeight="12.5" x14ac:dyDescent="0.25"/>
  <cols>
    <col min="1" max="1" width="1.453125" style="28" customWidth="1"/>
    <col min="2" max="2" width="77.36328125" style="28" customWidth="1"/>
    <col min="3" max="3" width="20.36328125" style="28" customWidth="1"/>
    <col min="4" max="4" width="43.90625" style="28" customWidth="1"/>
    <col min="5" max="5" width="22.08984375" style="28" hidden="1" customWidth="1"/>
    <col min="6" max="6" width="17.453125" style="28" hidden="1" customWidth="1"/>
    <col min="7" max="8" width="9.08984375" style="28" hidden="1" customWidth="1"/>
    <col min="9" max="9" width="16.54296875" style="28" hidden="1" customWidth="1"/>
    <col min="10" max="13" width="9.08984375" style="28" hidden="1" customWidth="1"/>
    <col min="14" max="14" width="0" style="28" hidden="1" customWidth="1"/>
    <col min="15" max="16384" width="9.08984375" style="28"/>
  </cols>
  <sheetData>
    <row r="1" spans="2:13" s="25" customFormat="1" ht="14" x14ac:dyDescent="0.3">
      <c r="E1" s="26" t="s">
        <v>196</v>
      </c>
      <c r="F1" s="25" t="s">
        <v>196</v>
      </c>
      <c r="G1" s="25" t="s">
        <v>196</v>
      </c>
      <c r="H1" s="25" t="s">
        <v>196</v>
      </c>
      <c r="I1" s="25" t="s">
        <v>196</v>
      </c>
      <c r="J1" s="25" t="s">
        <v>196</v>
      </c>
      <c r="K1" s="25" t="s">
        <v>196</v>
      </c>
      <c r="L1" s="25" t="s">
        <v>196</v>
      </c>
      <c r="M1" s="25" t="s">
        <v>196</v>
      </c>
    </row>
    <row r="2" spans="2:13" s="25" customFormat="1" ht="103.5" customHeight="1" x14ac:dyDescent="0.5">
      <c r="B2" s="27"/>
      <c r="C2" s="27"/>
      <c r="E2" s="26"/>
    </row>
    <row r="3" spans="2:13" s="25" customFormat="1" ht="72.75" customHeight="1" x14ac:dyDescent="0.5">
      <c r="B3" s="27"/>
      <c r="C3" s="27"/>
      <c r="E3" s="26"/>
    </row>
    <row r="4" spans="2:13" s="25" customFormat="1" ht="9.75" customHeight="1" x14ac:dyDescent="0.5">
      <c r="B4" s="27"/>
      <c r="C4" s="27"/>
      <c r="E4" s="26"/>
    </row>
    <row r="5" spans="2:13" s="25" customFormat="1" ht="14" x14ac:dyDescent="0.3">
      <c r="B5" s="69" t="s">
        <v>198</v>
      </c>
      <c r="C5" s="70"/>
      <c r="D5" s="33"/>
      <c r="E5" s="26"/>
    </row>
    <row r="7" spans="2:13" ht="13" x14ac:dyDescent="0.3">
      <c r="B7" s="37" t="s">
        <v>260</v>
      </c>
      <c r="C7" s="37"/>
      <c r="D7" s="37"/>
    </row>
    <row r="9" spans="2:13" ht="25.5" customHeight="1" x14ac:dyDescent="0.5">
      <c r="B9" s="35" t="s">
        <v>208</v>
      </c>
      <c r="C9" s="35"/>
      <c r="D9" s="36"/>
    </row>
    <row r="10" spans="2:13" ht="25.5" customHeight="1" x14ac:dyDescent="0.25">
      <c r="B10" s="68" t="s">
        <v>298</v>
      </c>
      <c r="C10" s="68"/>
      <c r="D10" s="68"/>
      <c r="H10" s="42"/>
      <c r="I10" s="115"/>
      <c r="J10" s="115"/>
    </row>
    <row r="11" spans="2:13" ht="25.5" customHeight="1" x14ac:dyDescent="0.25">
      <c r="B11" s="124" t="s">
        <v>312</v>
      </c>
      <c r="C11" s="35"/>
      <c r="D11" s="74" t="s">
        <v>210</v>
      </c>
    </row>
    <row r="12" spans="2:13" ht="25.5" customHeight="1" x14ac:dyDescent="0.3">
      <c r="B12" s="234" t="s">
        <v>313</v>
      </c>
      <c r="C12" s="234"/>
      <c r="D12" s="74" t="s">
        <v>210</v>
      </c>
      <c r="H12" s="81" t="s">
        <v>226</v>
      </c>
    </row>
    <row r="13" spans="2:13" ht="25.5" customHeight="1" x14ac:dyDescent="0.25">
      <c r="B13" s="124" t="s">
        <v>299</v>
      </c>
      <c r="C13" s="35"/>
      <c r="D13" s="74" t="s">
        <v>210</v>
      </c>
      <c r="H13" s="28" t="s">
        <v>227</v>
      </c>
      <c r="I13" s="201" t="s">
        <v>228</v>
      </c>
      <c r="J13" s="201"/>
    </row>
    <row r="14" spans="2:13" ht="25.5" customHeight="1" x14ac:dyDescent="0.25">
      <c r="B14" s="124" t="s">
        <v>338</v>
      </c>
      <c r="C14" s="35"/>
      <c r="D14" s="169"/>
      <c r="I14" s="201"/>
      <c r="J14" s="201">
        <v>0</v>
      </c>
    </row>
    <row r="15" spans="2:13" ht="25.5" customHeight="1" x14ac:dyDescent="0.5">
      <c r="B15" s="35"/>
      <c r="C15" s="35"/>
      <c r="D15" s="36"/>
      <c r="H15" s="42"/>
      <c r="I15" s="121" t="s">
        <v>229</v>
      </c>
      <c r="J15" s="121">
        <v>1</v>
      </c>
    </row>
    <row r="16" spans="2:13" ht="24.75" customHeight="1" x14ac:dyDescent="0.4">
      <c r="B16" s="68" t="s">
        <v>176</v>
      </c>
      <c r="C16" s="68"/>
      <c r="D16" s="67"/>
      <c r="E16" s="28" t="s">
        <v>219</v>
      </c>
      <c r="H16" s="42"/>
      <c r="I16" s="121" t="s">
        <v>230</v>
      </c>
      <c r="J16" s="121">
        <v>2</v>
      </c>
    </row>
    <row r="17" spans="2:10" ht="18" customHeight="1" x14ac:dyDescent="0.3">
      <c r="B17" s="72" t="s">
        <v>2</v>
      </c>
      <c r="C17" s="72"/>
      <c r="D17" s="72"/>
      <c r="H17" s="42"/>
      <c r="I17" s="121" t="s">
        <v>239</v>
      </c>
      <c r="J17" s="121">
        <v>3</v>
      </c>
    </row>
    <row r="18" spans="2:10" s="29" customFormat="1" ht="48.75" customHeight="1" x14ac:dyDescent="0.25">
      <c r="B18" s="30" t="s">
        <v>121</v>
      </c>
      <c r="C18" s="30"/>
      <c r="D18" s="74" t="s">
        <v>210</v>
      </c>
      <c r="E18" s="29" t="str">
        <f>IF(D18="no","error","")</f>
        <v/>
      </c>
      <c r="I18" s="121" t="s">
        <v>248</v>
      </c>
      <c r="J18" s="121">
        <v>0</v>
      </c>
    </row>
    <row r="19" spans="2:10" s="29" customFormat="1" ht="30.75" customHeight="1" x14ac:dyDescent="0.25">
      <c r="B19" s="30" t="s">
        <v>122</v>
      </c>
      <c r="C19" s="30"/>
      <c r="D19" s="74" t="s">
        <v>210</v>
      </c>
      <c r="I19" s="28" t="s">
        <v>210</v>
      </c>
      <c r="J19" s="29">
        <v>0</v>
      </c>
    </row>
    <row r="20" spans="2:10" s="29" customFormat="1" ht="30" customHeight="1" x14ac:dyDescent="0.25">
      <c r="B20" s="30" t="s">
        <v>29</v>
      </c>
      <c r="C20" s="30"/>
      <c r="D20" s="74" t="s">
        <v>210</v>
      </c>
      <c r="E20" s="29">
        <f>IF(AND(D18="yes",D19="yes",D20="yes"),2,0)</f>
        <v>0</v>
      </c>
    </row>
    <row r="21" spans="2:10" ht="18" customHeight="1" x14ac:dyDescent="0.3">
      <c r="B21" s="72" t="s">
        <v>202</v>
      </c>
      <c r="C21" s="72"/>
      <c r="D21" s="72"/>
      <c r="H21" s="81" t="s">
        <v>220</v>
      </c>
    </row>
    <row r="22" spans="2:10" s="29" customFormat="1" ht="45" customHeight="1" x14ac:dyDescent="0.25">
      <c r="B22" s="84" t="s">
        <v>211</v>
      </c>
      <c r="C22" s="30"/>
      <c r="D22" s="73" t="s">
        <v>210</v>
      </c>
      <c r="E22" s="29">
        <f>I22</f>
        <v>0</v>
      </c>
      <c r="F22" s="28"/>
      <c r="H22" s="29" t="s">
        <v>221</v>
      </c>
      <c r="I22" s="28">
        <f>IF(AND(D22="yes",D23="yes",D24="yes"),3,0)</f>
        <v>0</v>
      </c>
    </row>
    <row r="23" spans="2:10" s="29" customFormat="1" ht="45" customHeight="1" x14ac:dyDescent="0.25">
      <c r="B23" s="30" t="s">
        <v>234</v>
      </c>
      <c r="C23" s="30"/>
      <c r="D23" s="73" t="s">
        <v>210</v>
      </c>
      <c r="F23" s="28"/>
    </row>
    <row r="24" spans="2:10" s="29" customFormat="1" ht="45" customHeight="1" x14ac:dyDescent="0.25">
      <c r="B24" s="30" t="s">
        <v>235</v>
      </c>
      <c r="C24" s="30"/>
      <c r="D24" s="73" t="s">
        <v>210</v>
      </c>
      <c r="F24" s="28"/>
    </row>
    <row r="25" spans="2:10" s="29" customFormat="1" ht="45" customHeight="1" x14ac:dyDescent="0.25">
      <c r="B25" s="82" t="s">
        <v>249</v>
      </c>
      <c r="C25" s="82"/>
      <c r="D25" s="73" t="s">
        <v>210</v>
      </c>
      <c r="E25" s="28">
        <f>IF(AND(D22="No",D25="no",D28="No"),0,IF(D22="yes",0,IF(OR(I26=0,I28=0),0,3)))</f>
        <v>0</v>
      </c>
      <c r="F25" s="28"/>
      <c r="H25" s="39" t="s">
        <v>222</v>
      </c>
    </row>
    <row r="26" spans="2:10" s="29" customFormat="1" ht="45" customHeight="1" x14ac:dyDescent="0.25">
      <c r="B26" s="30" t="s">
        <v>31</v>
      </c>
      <c r="C26" s="82"/>
      <c r="D26" s="74" t="s">
        <v>210</v>
      </c>
      <c r="E26" s="28"/>
      <c r="F26" s="28"/>
      <c r="H26" s="29" t="s">
        <v>223</v>
      </c>
      <c r="I26" s="29">
        <f>IF(D25="no",1,IF(D25="yes",IF(OR(D26="Select Option",D26="less than 3 star",D27="no",D27="Select Option"),0,1),0))</f>
        <v>0</v>
      </c>
    </row>
    <row r="27" spans="2:10" s="29" customFormat="1" ht="45" customHeight="1" x14ac:dyDescent="0.25">
      <c r="B27" s="30" t="s">
        <v>35</v>
      </c>
      <c r="C27" s="30"/>
      <c r="D27" s="74" t="s">
        <v>210</v>
      </c>
      <c r="E27" s="28"/>
      <c r="F27" s="28"/>
    </row>
    <row r="28" spans="2:10" s="29" customFormat="1" ht="45" customHeight="1" x14ac:dyDescent="0.25">
      <c r="B28" s="82" t="s">
        <v>236</v>
      </c>
      <c r="C28" s="82"/>
      <c r="D28" s="73" t="s">
        <v>210</v>
      </c>
      <c r="E28" s="28"/>
      <c r="F28" s="28"/>
      <c r="H28" s="29" t="s">
        <v>224</v>
      </c>
      <c r="I28" s="29">
        <f>IF(D28="NO",1,IF(D28="Yes",IF(OR(D29="Select Option",D29="less than 3 star",D30="no",D30="Select Option"),0,1),0))</f>
        <v>0</v>
      </c>
    </row>
    <row r="29" spans="2:10" s="29" customFormat="1" ht="30" customHeight="1" x14ac:dyDescent="0.25">
      <c r="B29" s="30" t="s">
        <v>32</v>
      </c>
      <c r="C29" s="30"/>
      <c r="D29" s="74" t="s">
        <v>210</v>
      </c>
      <c r="E29" s="28"/>
      <c r="F29" s="28"/>
    </row>
    <row r="30" spans="2:10" s="29" customFormat="1" ht="30" customHeight="1" x14ac:dyDescent="0.25">
      <c r="B30" s="30" t="s">
        <v>30</v>
      </c>
      <c r="C30" s="30"/>
      <c r="D30" s="74" t="s">
        <v>210</v>
      </c>
      <c r="E30" s="28"/>
      <c r="F30" s="28"/>
    </row>
    <row r="31" spans="2:10" ht="18" customHeight="1" x14ac:dyDescent="0.3">
      <c r="B31" s="72" t="s">
        <v>203</v>
      </c>
      <c r="C31" s="72"/>
      <c r="D31" s="72"/>
    </row>
    <row r="32" spans="2:10" s="29" customFormat="1" ht="81.75" customHeight="1" x14ac:dyDescent="0.25">
      <c r="B32" s="30" t="s">
        <v>237</v>
      </c>
      <c r="C32" s="30"/>
      <c r="D32" s="79" t="s">
        <v>210</v>
      </c>
      <c r="E32" s="28">
        <f>IF(D32="yes",1,0)</f>
        <v>0</v>
      </c>
      <c r="F32" s="28"/>
    </row>
    <row r="33" spans="2:13" ht="18" customHeight="1" x14ac:dyDescent="0.3">
      <c r="B33" s="72" t="s">
        <v>205</v>
      </c>
      <c r="C33" s="72"/>
      <c r="D33" s="72"/>
      <c r="G33" s="31"/>
    </row>
    <row r="34" spans="2:13" ht="43.5" customHeight="1" x14ac:dyDescent="0.25">
      <c r="B34" s="30" t="s">
        <v>238</v>
      </c>
      <c r="C34" s="30"/>
      <c r="D34" s="79" t="s">
        <v>210</v>
      </c>
      <c r="E34" s="28">
        <f>IF(D34="yes",1,0)</f>
        <v>0</v>
      </c>
      <c r="G34" s="31"/>
    </row>
    <row r="35" spans="2:13" ht="18" customHeight="1" x14ac:dyDescent="0.3">
      <c r="B35" s="72" t="s">
        <v>217</v>
      </c>
      <c r="C35" s="72"/>
      <c r="D35" s="72"/>
      <c r="G35" s="31"/>
      <c r="H35" s="235" t="s">
        <v>485</v>
      </c>
      <c r="I35" s="236"/>
      <c r="L35" s="201" t="s">
        <v>508</v>
      </c>
      <c r="M35" s="201"/>
    </row>
    <row r="36" spans="2:13" ht="39.9" customHeight="1" x14ac:dyDescent="0.25">
      <c r="B36" s="30" t="s">
        <v>218</v>
      </c>
      <c r="C36" s="30"/>
      <c r="D36" s="203"/>
      <c r="G36" s="31"/>
      <c r="H36" s="201" t="s">
        <v>232</v>
      </c>
      <c r="I36" s="201" t="e">
        <f>VLOOKUP(D36,I15:J19,2)</f>
        <v>#N/A</v>
      </c>
      <c r="L36" s="201">
        <v>2</v>
      </c>
      <c r="M36" s="201">
        <f>IF(AND($H$44&gt;=4, $D$36&gt;=0.5, $D$37&gt;=5), L36, 0)</f>
        <v>0</v>
      </c>
    </row>
    <row r="37" spans="2:13" ht="30" customHeight="1" x14ac:dyDescent="0.25">
      <c r="B37" s="30" t="s">
        <v>225</v>
      </c>
      <c r="C37" s="30"/>
      <c r="D37" s="73"/>
      <c r="E37" s="28" t="e">
        <f>I36*I37</f>
        <v>#N/A</v>
      </c>
      <c r="G37" s="31"/>
      <c r="H37" s="201" t="s">
        <v>233</v>
      </c>
      <c r="I37" s="201">
        <f>IF(D37&gt;5,1,D37/5)</f>
        <v>0</v>
      </c>
      <c r="L37" s="201">
        <v>5</v>
      </c>
      <c r="M37" s="201">
        <f>IF(AND($H$44&gt;=5, $D$36&gt;=1, $D$37&gt;=5), L37, 0)</f>
        <v>0</v>
      </c>
    </row>
    <row r="38" spans="2:13" ht="18" customHeight="1" x14ac:dyDescent="0.3">
      <c r="B38" s="72" t="s">
        <v>192</v>
      </c>
      <c r="C38" s="72"/>
      <c r="D38" s="72"/>
    </row>
    <row r="39" spans="2:13" ht="18" customHeight="1" x14ac:dyDescent="0.25">
      <c r="B39" s="32" t="s">
        <v>2</v>
      </c>
      <c r="C39" s="32"/>
      <c r="D39" s="34">
        <f>E20</f>
        <v>0</v>
      </c>
      <c r="H39" s="28" t="s">
        <v>339</v>
      </c>
      <c r="I39" s="28" t="s">
        <v>340</v>
      </c>
    </row>
    <row r="40" spans="2:13" ht="18" customHeight="1" x14ac:dyDescent="0.25">
      <c r="B40" s="32" t="s">
        <v>202</v>
      </c>
      <c r="C40" s="32"/>
      <c r="D40" s="34">
        <f>IF(E22+E25&gt;0,3,E25)</f>
        <v>0</v>
      </c>
      <c r="H40" s="28" t="s">
        <v>341</v>
      </c>
      <c r="I40" s="28">
        <f>IF(AND($D$14=H40, $H$44&gt;0), 1,0)</f>
        <v>0</v>
      </c>
    </row>
    <row r="41" spans="2:13" ht="18" customHeight="1" x14ac:dyDescent="0.25">
      <c r="B41" s="32" t="s">
        <v>206</v>
      </c>
      <c r="C41" s="32"/>
      <c r="D41" s="34">
        <f>E32</f>
        <v>0</v>
      </c>
      <c r="H41" s="28" t="s">
        <v>342</v>
      </c>
      <c r="I41" s="28">
        <f>IF(AND($D$14=H41, $H$44&gt;5), 1,0)</f>
        <v>0</v>
      </c>
    </row>
    <row r="42" spans="2:13" ht="18" customHeight="1" x14ac:dyDescent="0.25">
      <c r="B42" s="32" t="s">
        <v>205</v>
      </c>
      <c r="C42" s="32"/>
      <c r="D42" s="34">
        <f>E34</f>
        <v>0</v>
      </c>
      <c r="H42" s="28" t="s">
        <v>343</v>
      </c>
      <c r="I42" s="28">
        <f>IF(AND($D$14=H42, $H$44&gt;6), 1,0)</f>
        <v>0</v>
      </c>
    </row>
    <row r="43" spans="2:13" ht="18" customHeight="1" x14ac:dyDescent="0.25">
      <c r="B43" s="32" t="str">
        <f>B35</f>
        <v>Accredited GreenPower®</v>
      </c>
      <c r="C43" s="32"/>
      <c r="D43" s="34">
        <f>MAX(M36:M37)</f>
        <v>0</v>
      </c>
    </row>
    <row r="44" spans="2:13" ht="18" customHeight="1" thickBot="1" x14ac:dyDescent="0.3">
      <c r="B44" s="44" t="s">
        <v>38</v>
      </c>
      <c r="C44" s="44"/>
      <c r="D44" s="40" t="str">
        <f>IF(COUNTIF(D11:D13,"Select Option"),"Complete Conditional Requirements",IF(COUNTIF(D11:D13,"No"),0,IF(SUM(D39:D43)&gt;8,8,SUM(D39:D43))))</f>
        <v>Complete Conditional Requirements</v>
      </c>
      <c r="H44" s="28">
        <f>IF(SUM(D39:D42)&gt;8,8,SUM(D39:D42))</f>
        <v>0</v>
      </c>
      <c r="I44" s="28" t="e">
        <f>VLOOKUP(D14,H40:I42, 2,FALSE)</f>
        <v>#N/A</v>
      </c>
    </row>
    <row r="45" spans="2:13" ht="18" customHeight="1" thickTop="1" thickBot="1" x14ac:dyDescent="0.3">
      <c r="B45" s="44" t="s">
        <v>247</v>
      </c>
      <c r="C45" s="44"/>
      <c r="D45" s="40">
        <v>10</v>
      </c>
    </row>
    <row r="46" spans="2:13" ht="13" thickTop="1" x14ac:dyDescent="0.25"/>
    <row r="47" spans="2:13" x14ac:dyDescent="0.25">
      <c r="B47" s="28" t="s">
        <v>345</v>
      </c>
      <c r="D47" s="28" t="e">
        <f>IF($I$44=1, "Conditional Requirement Met", "Conditional Requirement not met")</f>
        <v>#N/A</v>
      </c>
    </row>
    <row r="48" spans="2:13" ht="24.75" customHeight="1" x14ac:dyDescent="0.25"/>
    <row r="49" spans="1:8" ht="16.5" customHeight="1" x14ac:dyDescent="0.25"/>
    <row r="50" spans="1:8" ht="18" customHeight="1" x14ac:dyDescent="0.25"/>
    <row r="51" spans="1:8" ht="18" customHeight="1" x14ac:dyDescent="0.25"/>
    <row r="52" spans="1:8" x14ac:dyDescent="0.25">
      <c r="A52" s="29"/>
      <c r="B52" s="29"/>
      <c r="C52" s="29"/>
      <c r="D52" s="29"/>
      <c r="E52" s="29"/>
      <c r="F52" s="29"/>
      <c r="G52" s="29"/>
      <c r="H52" s="29"/>
    </row>
    <row r="53" spans="1:8" s="29" customFormat="1" ht="18" customHeight="1" x14ac:dyDescent="0.25">
      <c r="A53" s="28"/>
      <c r="B53" s="28"/>
      <c r="C53" s="28"/>
      <c r="D53" s="28"/>
      <c r="E53" s="28"/>
      <c r="F53" s="28"/>
      <c r="G53" s="28"/>
      <c r="H53" s="28"/>
    </row>
    <row r="55" spans="1:8" ht="18" customHeight="1" x14ac:dyDescent="0.25"/>
    <row r="56" spans="1:8" ht="18" customHeight="1" x14ac:dyDescent="0.25"/>
    <row r="57" spans="1:8" ht="18" customHeight="1" x14ac:dyDescent="0.25"/>
  </sheetData>
  <sheetProtection algorithmName="SHA-512" hashValue="hCp9328FF/WO+vPwZ9IHAxSTgijKn5IV0ZMzIMygK0WI1OfpW5ibjYBQzby0Wi8byiSbXoQR4dJob/0lck5Kgw==" saltValue="zglnxykfn5IrrDUYwT0s6Q==" spinCount="100000" sheet="1" objects="1" scenarios="1"/>
  <customSheetViews>
    <customSheetView guid="{E57EC305-7DFD-421A-BB34-3221A8A7CE7D}" hiddenColumns="1" state="hidden">
      <pageMargins left="0.7" right="0.7" top="0.75" bottom="0.75" header="0.3" footer="0.3"/>
      <pageSetup paperSize="9" orientation="portrait" r:id="rId1"/>
    </customSheetView>
    <customSheetView guid="{63FDFA20-8B8F-4388-AE98-CEF9EC3DA1CE}" showGridLines="0" topLeftCell="A30">
      <selection activeCell="J53" sqref="J53"/>
      <pageMargins left="0.7" right="0.7" top="0.75" bottom="0.75" header="0.3" footer="0.3"/>
      <pageSetup paperSize="9" orientation="portrait" r:id="rId2"/>
    </customSheetView>
  </customSheetViews>
  <mergeCells count="2">
    <mergeCell ref="B12:C12"/>
    <mergeCell ref="H35:I35"/>
  </mergeCells>
  <conditionalFormatting sqref="B25:D30">
    <cfRule type="expression" dxfId="3" priority="15">
      <formula>$D$22="Yes"</formula>
    </cfRule>
  </conditionalFormatting>
  <conditionalFormatting sqref="B23:D24">
    <cfRule type="expression" dxfId="2" priority="3">
      <formula>$D$22="No"</formula>
    </cfRule>
  </conditionalFormatting>
  <conditionalFormatting sqref="B26:D27">
    <cfRule type="expression" dxfId="1" priority="2">
      <formula>$D$25="No"</formula>
    </cfRule>
  </conditionalFormatting>
  <conditionalFormatting sqref="B29:D30">
    <cfRule type="expression" dxfId="0" priority="1">
      <formula>$D$28="NO"</formula>
    </cfRule>
  </conditionalFormatting>
  <dataValidations count="6">
    <dataValidation type="list" allowBlank="1" showInputMessage="1" showErrorMessage="1" sqref="D32 D34 D11:D13" xr:uid="{00000000-0002-0000-0300-000000000000}">
      <formula1>"Select Option,Yes,No,NA"</formula1>
    </dataValidation>
    <dataValidation type="whole" operator="greaterThan" allowBlank="1" showInputMessage="1" showErrorMessage="1" errorTitle="Enter a whole number" error="Please enter the number of years for the supply contract" sqref="D37" xr:uid="{00000000-0002-0000-0300-000001000000}">
      <formula1>0</formula1>
    </dataValidation>
    <dataValidation type="list" allowBlank="1" showInputMessage="1" showErrorMessage="1" sqref="D22:D25 D27:D28 D30" xr:uid="{00000000-0002-0000-0300-000002000000}">
      <formula1>"Select Option, Yes, No"</formula1>
    </dataValidation>
    <dataValidation type="list" allowBlank="1" showInputMessage="1" showErrorMessage="1" sqref="D18:D20" xr:uid="{00000000-0002-0000-0300-000003000000}">
      <formula1>"Select Option,Yes,No"</formula1>
    </dataValidation>
    <dataValidation type="list" allowBlank="1" showInputMessage="1" showErrorMessage="1" sqref="D26 D29" xr:uid="{00000000-0002-0000-0300-000004000000}">
      <formula1>"Select Option,less than 3 star,3 star,3.5 star,4 star,4.5 star,5 star,5.5 star,6 star,6.5 star,7 star,7.5 star,8 star,8.5 star,9 star,9.5 star,10 star"</formula1>
    </dataValidation>
    <dataValidation type="list" allowBlank="1" showInputMessage="1" showErrorMessage="1" sqref="D14" xr:uid="{00000000-0002-0000-0300-000005000000}">
      <formula1>$H$40:$H$42</formula1>
    </dataValidation>
  </dataValidations>
  <pageMargins left="0.7" right="0.7" top="0.75" bottom="0.75" header="0.3" footer="0.3"/>
  <pageSetup paperSize="9" orientation="portrait"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S48"/>
  <sheetViews>
    <sheetView workbookViewId="0"/>
  </sheetViews>
  <sheetFormatPr defaultColWidth="9.08984375" defaultRowHeight="12.5" x14ac:dyDescent="0.25"/>
  <cols>
    <col min="1" max="1" width="3.90625" style="115" customWidth="1"/>
    <col min="2" max="2" width="77.54296875" style="115" customWidth="1"/>
    <col min="3" max="4" width="25.54296875" style="115" customWidth="1"/>
    <col min="5" max="6" width="21.54296875" style="115" hidden="1" customWidth="1"/>
    <col min="7" max="7" width="9.08984375" style="115" hidden="1" customWidth="1"/>
    <col min="8" max="12" width="0" style="115" hidden="1" customWidth="1"/>
    <col min="13" max="16384" width="9.08984375" style="115"/>
  </cols>
  <sheetData>
    <row r="1" spans="2:17" s="25" customFormat="1" ht="14" x14ac:dyDescent="0.3"/>
    <row r="2" spans="2:17" s="25" customFormat="1" ht="103.5" customHeight="1" x14ac:dyDescent="0.5">
      <c r="B2" s="27"/>
      <c r="C2" s="27"/>
    </row>
    <row r="3" spans="2:17" s="25" customFormat="1" ht="72.75" customHeight="1" x14ac:dyDescent="0.5">
      <c r="B3" s="27"/>
      <c r="C3" s="27"/>
    </row>
    <row r="4" spans="2:17" s="25" customFormat="1" ht="23" x14ac:dyDescent="0.5">
      <c r="B4" s="27"/>
      <c r="C4" s="27"/>
    </row>
    <row r="5" spans="2:17" s="25" customFormat="1" ht="23" x14ac:dyDescent="0.3">
      <c r="B5" s="127" t="s">
        <v>198</v>
      </c>
      <c r="C5" s="45"/>
      <c r="D5" s="33"/>
    </row>
    <row r="6" spans="2:17" s="28" customFormat="1" ht="14" x14ac:dyDescent="0.3">
      <c r="E6" s="28" t="s">
        <v>196</v>
      </c>
      <c r="F6" s="28" t="s">
        <v>196</v>
      </c>
      <c r="G6" s="25" t="s">
        <v>196</v>
      </c>
      <c r="H6" s="25"/>
      <c r="I6" s="25"/>
      <c r="J6" s="25"/>
      <c r="K6" s="25"/>
      <c r="L6" s="25"/>
      <c r="M6" s="25"/>
      <c r="N6" s="25"/>
      <c r="O6" s="25"/>
      <c r="P6" s="25"/>
      <c r="Q6" s="25"/>
    </row>
    <row r="7" spans="2:17" s="28" customFormat="1" ht="13" x14ac:dyDescent="0.3">
      <c r="B7" s="37" t="s">
        <v>261</v>
      </c>
      <c r="J7" s="28" t="s">
        <v>196</v>
      </c>
      <c r="K7" s="28" t="s">
        <v>196</v>
      </c>
      <c r="L7" s="28" t="s">
        <v>196</v>
      </c>
    </row>
    <row r="8" spans="2:17" s="28" customFormat="1" x14ac:dyDescent="0.25"/>
    <row r="9" spans="2:17" s="28" customFormat="1" ht="25" x14ac:dyDescent="0.5">
      <c r="B9" s="35" t="s">
        <v>250</v>
      </c>
      <c r="C9" s="35"/>
      <c r="D9" s="36"/>
    </row>
    <row r="10" spans="2:17" s="28" customFormat="1" ht="18" x14ac:dyDescent="0.25">
      <c r="B10" s="76" t="s">
        <v>191</v>
      </c>
      <c r="C10" s="76"/>
      <c r="D10" s="76"/>
    </row>
    <row r="11" spans="2:17" s="28" customFormat="1" ht="25" x14ac:dyDescent="0.5">
      <c r="B11" s="167" t="s">
        <v>346</v>
      </c>
      <c r="C11" s="210"/>
      <c r="D11" s="36"/>
    </row>
    <row r="12" spans="2:17" s="28" customFormat="1" ht="25" x14ac:dyDescent="0.5">
      <c r="B12" s="35"/>
      <c r="C12" s="35"/>
      <c r="D12" s="36"/>
    </row>
    <row r="13" spans="2:17" s="28" customFormat="1" ht="22.5" customHeight="1" x14ac:dyDescent="0.25">
      <c r="B13" s="76" t="s">
        <v>199</v>
      </c>
      <c r="C13" s="76"/>
      <c r="D13" s="76"/>
    </row>
    <row r="14" spans="2:17" ht="15.75" customHeight="1" x14ac:dyDescent="0.25"/>
    <row r="15" spans="2:17" ht="15.75" customHeight="1" x14ac:dyDescent="0.25">
      <c r="B15" s="39" t="s">
        <v>300</v>
      </c>
    </row>
    <row r="16" spans="2:17" ht="15.75" customHeight="1" x14ac:dyDescent="0.25">
      <c r="B16" s="128" t="s">
        <v>314</v>
      </c>
      <c r="C16" s="129"/>
    </row>
    <row r="17" spans="2:4" ht="15.75" customHeight="1" x14ac:dyDescent="0.25">
      <c r="B17" s="130" t="s">
        <v>301</v>
      </c>
      <c r="C17" s="131"/>
    </row>
    <row r="18" spans="2:4" ht="15.75" customHeight="1" x14ac:dyDescent="0.25">
      <c r="B18" s="130" t="s">
        <v>315</v>
      </c>
      <c r="C18" s="131"/>
      <c r="D18" s="115" t="s">
        <v>33</v>
      </c>
    </row>
    <row r="19" spans="2:4" ht="15.75" customHeight="1" x14ac:dyDescent="0.25">
      <c r="B19" s="132" t="s">
        <v>302</v>
      </c>
      <c r="C19" s="133"/>
    </row>
    <row r="20" spans="2:4" ht="15.75" customHeight="1" x14ac:dyDescent="0.25"/>
    <row r="21" spans="2:4" ht="15.75" customHeight="1" x14ac:dyDescent="0.25">
      <c r="B21" s="39" t="s">
        <v>303</v>
      </c>
    </row>
    <row r="22" spans="2:4" ht="15.75" customHeight="1" x14ac:dyDescent="0.25">
      <c r="B22" s="115" t="s">
        <v>304</v>
      </c>
      <c r="C22" s="134"/>
      <c r="D22" s="115" t="s">
        <v>33</v>
      </c>
    </row>
    <row r="23" spans="2:4" ht="15.75" customHeight="1" x14ac:dyDescent="0.25">
      <c r="B23" s="115" t="s">
        <v>305</v>
      </c>
      <c r="C23" s="135" t="str">
        <f>IFERROR(C18/C22," ")</f>
        <v xml:space="preserve"> </v>
      </c>
    </row>
    <row r="24" spans="2:4" ht="15.75" customHeight="1" x14ac:dyDescent="0.25">
      <c r="B24" s="136" t="str">
        <f>IF(C23&lt;0.8,"Assessed area is less than 80% of total, the non-NABERS area must be assessed using one of the other assessment pathways. Please refer to the 'Multiple Path Calcs' sheet for the project's final score.","")</f>
        <v/>
      </c>
    </row>
    <row r="25" spans="2:4" ht="22.5" customHeight="1" x14ac:dyDescent="0.25">
      <c r="B25" s="137"/>
      <c r="C25" s="138" t="s">
        <v>306</v>
      </c>
      <c r="D25" s="138" t="s">
        <v>307</v>
      </c>
    </row>
    <row r="26" spans="2:4" ht="15.75" customHeight="1" x14ac:dyDescent="0.25"/>
    <row r="27" spans="2:4" ht="15.75" customHeight="1" x14ac:dyDescent="0.25">
      <c r="B27" s="39" t="s">
        <v>308</v>
      </c>
      <c r="C27" s="139">
        <v>4.5</v>
      </c>
      <c r="D27" s="134">
        <v>4.5</v>
      </c>
    </row>
    <row r="28" spans="2:4" ht="15.75" customHeight="1" x14ac:dyDescent="0.25">
      <c r="C28" s="136" t="str">
        <f>IF(D27&lt;4.5,"Conditional Requirement not met; a NABERS rating greater than 4.5 stars is required to target this pathway.","")</f>
        <v/>
      </c>
    </row>
    <row r="29" spans="2:4" ht="15.75" customHeight="1" x14ac:dyDescent="0.25">
      <c r="B29" s="115" t="s">
        <v>314</v>
      </c>
      <c r="C29" s="139">
        <f>C16</f>
        <v>0</v>
      </c>
      <c r="D29" s="139">
        <f>C16</f>
        <v>0</v>
      </c>
    </row>
    <row r="30" spans="2:4" ht="15.75" customHeight="1" x14ac:dyDescent="0.25">
      <c r="B30" s="115" t="s">
        <v>301</v>
      </c>
      <c r="C30" s="139">
        <f>C17</f>
        <v>0</v>
      </c>
      <c r="D30" s="139">
        <f t="shared" ref="D30:D32" si="0">C17</f>
        <v>0</v>
      </c>
    </row>
    <row r="31" spans="2:4" ht="15.75" customHeight="1" x14ac:dyDescent="0.25">
      <c r="B31" s="115" t="s">
        <v>315</v>
      </c>
      <c r="C31" s="139">
        <f t="shared" ref="C31:C32" si="1">C18</f>
        <v>0</v>
      </c>
      <c r="D31" s="139">
        <f t="shared" si="0"/>
        <v>0</v>
      </c>
    </row>
    <row r="32" spans="2:4" ht="15.75" customHeight="1" x14ac:dyDescent="0.25">
      <c r="B32" s="115" t="s">
        <v>302</v>
      </c>
      <c r="C32" s="139">
        <f t="shared" si="1"/>
        <v>0</v>
      </c>
      <c r="D32" s="139">
        <f t="shared" si="0"/>
        <v>0</v>
      </c>
    </row>
    <row r="33" spans="2:19" ht="15.75" customHeight="1" x14ac:dyDescent="0.25"/>
    <row r="34" spans="2:19" ht="15.75" customHeight="1" x14ac:dyDescent="0.25">
      <c r="B34" s="115" t="s">
        <v>309</v>
      </c>
      <c r="C34" s="134"/>
      <c r="D34" s="134"/>
    </row>
    <row r="35" spans="2:19" ht="15.75" customHeight="1" x14ac:dyDescent="0.25"/>
    <row r="36" spans="2:19" ht="15.75" customHeight="1" thickBot="1" x14ac:dyDescent="0.3">
      <c r="B36" s="44" t="s">
        <v>40</v>
      </c>
      <c r="C36" s="44"/>
      <c r="D36" s="41">
        <f>IFERROR(IF(ISBLANK(C34)=TRUE,0,MIN(MAX((C34-D34)/C34,0),1)),"")</f>
        <v>0</v>
      </c>
      <c r="E36" s="115" t="s">
        <v>268</v>
      </c>
      <c r="F36" s="114">
        <f>IFERROR(D36*F42,"")</f>
        <v>0</v>
      </c>
    </row>
    <row r="37" spans="2:19" ht="15.75" customHeight="1" thickTop="1" x14ac:dyDescent="0.25"/>
    <row r="38" spans="2:19" ht="22.5" customHeight="1" x14ac:dyDescent="0.25">
      <c r="B38" s="140" t="s">
        <v>265</v>
      </c>
      <c r="C38" s="112"/>
      <c r="D38" s="112"/>
      <c r="F38" s="116"/>
      <c r="G38" s="116"/>
      <c r="I38" s="116"/>
      <c r="J38" s="128" t="s">
        <v>347</v>
      </c>
      <c r="K38" s="171"/>
      <c r="L38" s="172"/>
      <c r="M38" s="116"/>
      <c r="N38" s="116"/>
      <c r="O38" s="116"/>
      <c r="P38" s="116"/>
      <c r="Q38" s="116"/>
      <c r="R38" s="116"/>
      <c r="S38" s="116"/>
    </row>
    <row r="39" spans="2:19" ht="15.75" customHeight="1" x14ac:dyDescent="0.25">
      <c r="B39" s="141" t="s">
        <v>266</v>
      </c>
      <c r="D39" s="144"/>
      <c r="F39" s="116"/>
      <c r="G39" s="116"/>
      <c r="I39" s="116"/>
      <c r="J39" s="130" t="s">
        <v>348</v>
      </c>
      <c r="K39" s="173">
        <f>IF(AND($C$11=J39, $F$36&gt;0), 1,0)</f>
        <v>0</v>
      </c>
      <c r="L39" s="174"/>
      <c r="M39" s="116"/>
      <c r="N39" s="116"/>
      <c r="O39" s="116"/>
      <c r="P39" s="116"/>
      <c r="Q39" s="116"/>
      <c r="R39" s="116"/>
      <c r="S39" s="116"/>
    </row>
    <row r="40" spans="2:19" ht="15.75" customHeight="1" x14ac:dyDescent="0.25">
      <c r="B40" s="141" t="s">
        <v>267</v>
      </c>
      <c r="D40" s="145"/>
      <c r="E40" s="115" t="s">
        <v>269</v>
      </c>
      <c r="F40" s="114">
        <f>MIN(F36,F36*D39*D40/5)</f>
        <v>0</v>
      </c>
      <c r="G40" s="116"/>
      <c r="I40" s="116"/>
      <c r="J40" s="130" t="s">
        <v>349</v>
      </c>
      <c r="K40" s="173">
        <f>IF(AND($C$11=J40, $F$36&gt;=3), 1,0)</f>
        <v>0</v>
      </c>
      <c r="L40" s="174"/>
      <c r="M40" s="116"/>
      <c r="N40" s="116"/>
      <c r="O40" s="116"/>
      <c r="P40" s="116"/>
      <c r="Q40" s="116"/>
      <c r="R40" s="116"/>
      <c r="S40" s="116"/>
    </row>
    <row r="41" spans="2:19" ht="15.75" customHeight="1" x14ac:dyDescent="0.25">
      <c r="B41" s="141"/>
      <c r="F41" s="116"/>
      <c r="G41" s="116"/>
      <c r="I41" s="116"/>
      <c r="J41" s="175" t="s">
        <v>350</v>
      </c>
      <c r="K41" s="173">
        <f>IF(AND($C$11=J41, $F$36&gt;=6), 1,0)</f>
        <v>0</v>
      </c>
      <c r="L41" s="176"/>
      <c r="M41" s="116"/>
      <c r="N41" s="116"/>
      <c r="O41" s="116"/>
      <c r="P41" s="116"/>
      <c r="Q41" s="116"/>
      <c r="R41" s="116"/>
      <c r="S41" s="116"/>
    </row>
    <row r="42" spans="2:19" ht="18" customHeight="1" x14ac:dyDescent="0.3">
      <c r="B42" s="142" t="s">
        <v>200</v>
      </c>
      <c r="C42" s="143"/>
      <c r="D42" s="143"/>
      <c r="E42" s="115" t="s">
        <v>270</v>
      </c>
      <c r="F42" s="156">
        <v>20</v>
      </c>
      <c r="G42" s="116"/>
      <c r="I42" s="116"/>
      <c r="J42" s="177"/>
      <c r="K42" s="178" t="e">
        <f>VLOOKUP(C11,J39:K41, 2,FALSE)</f>
        <v>#N/A</v>
      </c>
      <c r="L42" s="179"/>
      <c r="M42" s="116"/>
      <c r="N42" s="116"/>
      <c r="O42" s="116"/>
      <c r="P42" s="116"/>
      <c r="Q42" s="116"/>
      <c r="R42" s="116"/>
      <c r="S42" s="116"/>
    </row>
    <row r="43" spans="2:19" ht="18" customHeight="1" thickBot="1" x14ac:dyDescent="0.3">
      <c r="B43" s="44" t="s">
        <v>38</v>
      </c>
      <c r="C43" s="85"/>
      <c r="D43" s="85">
        <f>IF(D27&lt;4.5,"Conditional Requirement not met",F43)</f>
        <v>0</v>
      </c>
      <c r="E43" s="117" t="s">
        <v>271</v>
      </c>
      <c r="F43" s="113">
        <f>IF(F40+F36&gt;20,20,F40+F36)</f>
        <v>0</v>
      </c>
      <c r="G43" s="116"/>
      <c r="H43" s="116"/>
      <c r="I43" s="116"/>
      <c r="J43" s="116"/>
      <c r="K43" s="116"/>
      <c r="L43" s="116"/>
      <c r="M43" s="116"/>
      <c r="N43" s="116"/>
      <c r="O43" s="116"/>
      <c r="P43" s="116"/>
      <c r="Q43" s="116"/>
      <c r="R43" s="116"/>
      <c r="S43" s="116"/>
    </row>
    <row r="44" spans="2:19" ht="18" customHeight="1" thickTop="1" thickBot="1" x14ac:dyDescent="0.3">
      <c r="B44" s="44" t="s">
        <v>247</v>
      </c>
      <c r="C44" s="40"/>
      <c r="D44" s="66">
        <f>F42</f>
        <v>20</v>
      </c>
      <c r="F44" s="116"/>
      <c r="G44" s="116"/>
      <c r="H44" s="116"/>
      <c r="I44" s="116"/>
      <c r="J44" s="116"/>
      <c r="K44" s="116"/>
      <c r="L44" s="116"/>
      <c r="M44" s="116"/>
      <c r="N44" s="116"/>
      <c r="O44" s="116"/>
      <c r="P44" s="116"/>
      <c r="Q44" s="116"/>
      <c r="R44" s="116"/>
      <c r="S44" s="116"/>
    </row>
    <row r="45" spans="2:19" ht="13" thickTop="1" x14ac:dyDescent="0.25"/>
    <row r="46" spans="2:19" x14ac:dyDescent="0.25">
      <c r="B46" s="170" t="s">
        <v>345</v>
      </c>
      <c r="C46" s="115" t="e">
        <f>IF(K42=1, "Conditional Requirement Met", "Conditional Requirement not met")</f>
        <v>#N/A</v>
      </c>
    </row>
    <row r="48" spans="2:19" ht="12.75" customHeight="1" x14ac:dyDescent="0.25"/>
  </sheetData>
  <customSheetViews>
    <customSheetView guid="{E57EC305-7DFD-421A-BB34-3221A8A7CE7D}" fitToPage="1" hiddenColumns="1" state="hidden">
      <pageMargins left="0.70866141732283472" right="0.70866141732283472" top="0.74803149606299213" bottom="0.74803149606299213" header="0.31496062992125984" footer="0.31496062992125984"/>
      <pageSetup paperSize="9" scale="76" orientation="landscape" cellComments="asDisplayed" r:id="rId1"/>
    </customSheetView>
    <customSheetView guid="{63FDFA20-8B8F-4388-AE98-CEF9EC3DA1CE}" showGridLines="0" fitToPage="1" topLeftCell="A22">
      <selection activeCell="D40" sqref="D40"/>
      <pageMargins left="0.70866141732283472" right="0.70866141732283472" top="0.74803149606299213" bottom="0.74803149606299213" header="0.31496062992125984" footer="0.31496062992125984"/>
      <pageSetup paperSize="9" scale="76" orientation="landscape" cellComments="asDisplayed" r:id="rId2"/>
    </customSheetView>
  </customSheetViews>
  <dataValidations count="1">
    <dataValidation type="list" allowBlank="1" showInputMessage="1" showErrorMessage="1" sqref="C11" xr:uid="{00000000-0002-0000-0400-000000000000}">
      <formula1>$J$39:$J$41</formula1>
    </dataValidation>
  </dataValidations>
  <pageMargins left="0.70866141732283472" right="0.70866141732283472" top="0.74803149606299213" bottom="0.74803149606299213" header="0.31496062992125984" footer="0.31496062992125984"/>
  <pageSetup paperSize="9" scale="76" orientation="landscape" cellComments="asDisplayed"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117"/>
  <sheetViews>
    <sheetView showGridLines="0" showRowColHeaders="0" tabSelected="1" zoomScale="70" zoomScaleNormal="70" workbookViewId="0">
      <selection activeCell="AA10" sqref="AA10"/>
    </sheetView>
  </sheetViews>
  <sheetFormatPr defaultRowHeight="12.5" x14ac:dyDescent="0.25"/>
  <cols>
    <col min="1" max="1" width="2.6328125" customWidth="1"/>
    <col min="2" max="2" width="40.6328125" style="17" customWidth="1"/>
    <col min="3" max="3" width="15.90625" bestFit="1" customWidth="1"/>
    <col min="4" max="4" width="15.54296875" customWidth="1"/>
    <col min="5" max="5" width="21.54296875" customWidth="1"/>
    <col min="6" max="6" width="15.90625" bestFit="1" customWidth="1"/>
    <col min="7" max="7" width="17.08984375" customWidth="1"/>
    <col min="8" max="8" width="27.08984375" customWidth="1"/>
    <col min="9" max="9" width="15.54296875" customWidth="1"/>
    <col min="10" max="10" width="45.08984375" customWidth="1"/>
    <col min="11" max="11" width="13.08984375" hidden="1" customWidth="1"/>
    <col min="12" max="12" width="50.36328125" hidden="1" customWidth="1"/>
    <col min="13" max="17" width="9.08984375" hidden="1" customWidth="1"/>
    <col min="18" max="18" width="0" hidden="1" customWidth="1"/>
  </cols>
  <sheetData>
    <row r="1" spans="2:18" s="21" customFormat="1" ht="14" x14ac:dyDescent="0.3">
      <c r="D1" s="22"/>
      <c r="O1" s="21" t="s">
        <v>196</v>
      </c>
      <c r="P1" s="21" t="s">
        <v>196</v>
      </c>
      <c r="Q1" s="21" t="s">
        <v>196</v>
      </c>
    </row>
    <row r="2" spans="2:18" s="21" customFormat="1" ht="103.5" customHeight="1" x14ac:dyDescent="0.5">
      <c r="B2" s="23"/>
      <c r="D2" s="22"/>
    </row>
    <row r="3" spans="2:18" s="21" customFormat="1" ht="72.75" customHeight="1" x14ac:dyDescent="0.5">
      <c r="B3" s="23"/>
      <c r="D3" s="22"/>
    </row>
    <row r="4" spans="2:18" s="21" customFormat="1" ht="9.75" customHeight="1" x14ac:dyDescent="0.5">
      <c r="B4" s="23"/>
      <c r="D4" s="22"/>
      <c r="M4" s="21" t="s">
        <v>196</v>
      </c>
      <c r="N4" s="21" t="s">
        <v>196</v>
      </c>
    </row>
    <row r="5" spans="2:18" s="21" customFormat="1" ht="14" x14ac:dyDescent="0.3">
      <c r="B5" s="75" t="s">
        <v>198</v>
      </c>
      <c r="C5" s="87"/>
      <c r="D5" s="87"/>
      <c r="E5" s="87"/>
      <c r="F5" s="88"/>
      <c r="G5" s="24"/>
    </row>
    <row r="6" spans="2:18" s="28" customFormat="1" ht="14" x14ac:dyDescent="0.3">
      <c r="H6" s="25"/>
      <c r="L6" s="25"/>
      <c r="M6" s="25"/>
      <c r="N6" s="25"/>
      <c r="O6" s="25"/>
      <c r="P6" s="25"/>
      <c r="Q6" s="25"/>
      <c r="R6" s="25"/>
    </row>
    <row r="7" spans="2:18" s="28" customFormat="1" ht="13" x14ac:dyDescent="0.3">
      <c r="B7" s="37" t="s">
        <v>538</v>
      </c>
    </row>
    <row r="8" spans="2:18" s="28" customFormat="1" x14ac:dyDescent="0.25"/>
    <row r="9" spans="2:18" s="28" customFormat="1" ht="25" x14ac:dyDescent="0.5">
      <c r="B9" s="35" t="s">
        <v>522</v>
      </c>
      <c r="C9" s="35"/>
      <c r="D9" s="36"/>
    </row>
    <row r="10" spans="2:18" s="28" customFormat="1" ht="18" x14ac:dyDescent="0.25">
      <c r="B10" s="76" t="s">
        <v>191</v>
      </c>
      <c r="C10" s="76"/>
      <c r="D10" s="76"/>
      <c r="E10" s="76"/>
    </row>
    <row r="11" spans="2:18" s="28" customFormat="1" ht="25" x14ac:dyDescent="0.5">
      <c r="B11" s="166" t="s">
        <v>346</v>
      </c>
      <c r="C11" s="210" t="s">
        <v>350</v>
      </c>
      <c r="D11" s="36"/>
    </row>
    <row r="12" spans="2:18" s="28" customFormat="1" ht="25" x14ac:dyDescent="0.5">
      <c r="B12" s="35"/>
      <c r="C12" s="35"/>
      <c r="D12" s="36"/>
    </row>
    <row r="13" spans="2:18" s="28" customFormat="1" ht="22.5" customHeight="1" x14ac:dyDescent="0.25">
      <c r="B13" s="76" t="s">
        <v>199</v>
      </c>
      <c r="C13" s="76"/>
      <c r="D13" s="76"/>
      <c r="E13" s="76"/>
    </row>
    <row r="14" spans="2:18" s="1" customFormat="1" ht="18" customHeight="1" x14ac:dyDescent="0.25">
      <c r="B14" s="46" t="s">
        <v>240</v>
      </c>
      <c r="C14" s="222" t="s">
        <v>521</v>
      </c>
    </row>
    <row r="15" spans="2:18" s="1" customFormat="1" ht="30" customHeight="1" x14ac:dyDescent="0.25">
      <c r="B15" s="47" t="s">
        <v>90</v>
      </c>
      <c r="C15" s="74" t="s">
        <v>43</v>
      </c>
    </row>
    <row r="16" spans="2:18" s="1" customFormat="1" ht="18" customHeight="1" x14ac:dyDescent="0.25">
      <c r="B16" s="13"/>
    </row>
    <row r="17" spans="2:16" s="1" customFormat="1" ht="18" customHeight="1" x14ac:dyDescent="0.25">
      <c r="B17" s="13" t="s">
        <v>120</v>
      </c>
      <c r="D17" s="4" t="s">
        <v>170</v>
      </c>
    </row>
    <row r="18" spans="2:16" s="1" customFormat="1" ht="18" customHeight="1" x14ac:dyDescent="0.25">
      <c r="B18" s="32" t="s">
        <v>78</v>
      </c>
      <c r="C18" s="48">
        <f>IFERROR(VLOOKUP($C$14,GeoGHGFactor,2,FALSE),"Select Location")</f>
        <v>0.129</v>
      </c>
      <c r="D18" s="32" t="s">
        <v>118</v>
      </c>
      <c r="O18" s="1" t="s">
        <v>79</v>
      </c>
    </row>
    <row r="19" spans="2:16" s="1" customFormat="1" ht="18" customHeight="1" x14ac:dyDescent="0.25">
      <c r="B19" s="32" t="s">
        <v>62</v>
      </c>
      <c r="C19" s="48">
        <f>IFERROR(VLOOKUP($C$14,GeoGHGFactor,3,FALSE),"Select Location")</f>
        <v>6.4100000000000004E-2</v>
      </c>
      <c r="D19" s="32" t="s">
        <v>119</v>
      </c>
      <c r="O19" s="1" t="s">
        <v>79</v>
      </c>
    </row>
    <row r="20" spans="2:16" s="1" customFormat="1" ht="18" customHeight="1" x14ac:dyDescent="0.25">
      <c r="B20" s="32" t="s">
        <v>71</v>
      </c>
      <c r="C20" s="48">
        <f>64.9/1000</f>
        <v>6.4899999999999999E-2</v>
      </c>
      <c r="D20" s="32" t="s">
        <v>119</v>
      </c>
      <c r="O20" s="1" t="s">
        <v>117</v>
      </c>
    </row>
    <row r="21" spans="2:16" s="1" customFormat="1" ht="18" customHeight="1" x14ac:dyDescent="0.25">
      <c r="B21" s="32" t="s">
        <v>72</v>
      </c>
      <c r="C21" s="48">
        <f>74.8/1000</f>
        <v>7.4799999999999991E-2</v>
      </c>
      <c r="D21" s="32" t="s">
        <v>119</v>
      </c>
    </row>
    <row r="22" spans="2:16" s="1" customFormat="1" ht="18" customHeight="1" x14ac:dyDescent="0.25">
      <c r="B22" s="32" t="s">
        <v>73</v>
      </c>
      <c r="C22" s="48">
        <f>93.03/1000</f>
        <v>9.3030000000000002E-2</v>
      </c>
      <c r="D22" s="32" t="s">
        <v>119</v>
      </c>
    </row>
    <row r="23" spans="2:16" s="1" customFormat="1" ht="18" customHeight="1" x14ac:dyDescent="0.25">
      <c r="B23" s="32" t="s">
        <v>74</v>
      </c>
      <c r="C23" s="48">
        <f>1.8/1000</f>
        <v>1.8E-3</v>
      </c>
      <c r="D23" s="32" t="s">
        <v>119</v>
      </c>
    </row>
    <row r="24" spans="2:16" s="1" customFormat="1" ht="18" customHeight="1" x14ac:dyDescent="0.25">
      <c r="B24" s="32" t="s">
        <v>75</v>
      </c>
      <c r="C24" s="48">
        <f>0.26/1000</f>
        <v>2.6000000000000003E-4</v>
      </c>
      <c r="D24" s="32" t="s">
        <v>119</v>
      </c>
    </row>
    <row r="25" spans="2:16" s="1" customFormat="1" ht="18" customHeight="1" x14ac:dyDescent="0.25">
      <c r="B25" s="32" t="s">
        <v>76</v>
      </c>
      <c r="C25" s="48">
        <f>IF(ISBLANK(H30)=TRUE,P32,IF(H30="&lt;90%",C30,P32-F30/10*(P32-C30)))</f>
        <v>5.9722222222222225E-3</v>
      </c>
      <c r="D25" s="32" t="s">
        <v>119</v>
      </c>
      <c r="O25" s="1" t="s">
        <v>117</v>
      </c>
    </row>
    <row r="26" spans="2:16" s="1" customFormat="1" ht="18" customHeight="1" x14ac:dyDescent="0.25">
      <c r="B26" s="32" t="s">
        <v>77</v>
      </c>
      <c r="C26" s="48">
        <f>IF(ISBLANK(H31)=TRUE,P33,IF(H31="&lt;90%",C31,P33-F31/10*(P33-C31)))</f>
        <v>8.4951807228915682E-2</v>
      </c>
      <c r="D26" s="32" t="s">
        <v>119</v>
      </c>
      <c r="O26" s="1" t="s">
        <v>117</v>
      </c>
    </row>
    <row r="27" spans="2:16" s="1" customFormat="1" ht="18" customHeight="1" x14ac:dyDescent="0.25">
      <c r="B27" s="32" t="s">
        <v>175</v>
      </c>
      <c r="C27" s="48">
        <f>IF(ISBLANK(H32)=TRUE,P34,IF(H32="&lt;90%",C32,P34-F32/10*(P34-C32)))</f>
        <v>8.4951807228915682E-2</v>
      </c>
      <c r="D27" s="32" t="s">
        <v>119</v>
      </c>
      <c r="O27" s="1" t="s">
        <v>117</v>
      </c>
    </row>
    <row r="28" spans="2:16" s="1" customFormat="1" ht="18" customHeight="1" x14ac:dyDescent="0.25">
      <c r="B28" s="32" t="s">
        <v>186</v>
      </c>
      <c r="C28" s="48">
        <f>N35-F33/10*(N35-C33)</f>
        <v>0.129</v>
      </c>
      <c r="D28" s="32" t="s">
        <v>118</v>
      </c>
    </row>
    <row r="29" spans="2:16" s="1" customFormat="1" ht="18" customHeight="1" x14ac:dyDescent="0.25">
      <c r="O29" s="1" t="s">
        <v>117</v>
      </c>
    </row>
    <row r="30" spans="2:16" s="1" customFormat="1" ht="18" customHeight="1" x14ac:dyDescent="0.25">
      <c r="B30" s="4" t="s">
        <v>253</v>
      </c>
      <c r="C30" s="74"/>
      <c r="D30" s="1" t="s">
        <v>119</v>
      </c>
      <c r="E30" s="4" t="s">
        <v>182</v>
      </c>
      <c r="F30" s="74"/>
      <c r="G30" s="4" t="s">
        <v>241</v>
      </c>
      <c r="H30" s="74"/>
    </row>
    <row r="31" spans="2:16" s="1" customFormat="1" ht="18" customHeight="1" x14ac:dyDescent="0.25">
      <c r="B31" s="4" t="s">
        <v>254</v>
      </c>
      <c r="C31" s="74"/>
      <c r="D31" s="1" t="s">
        <v>119</v>
      </c>
      <c r="E31" s="4" t="s">
        <v>182</v>
      </c>
      <c r="F31" s="74"/>
      <c r="G31" s="4" t="s">
        <v>241</v>
      </c>
      <c r="H31" s="74"/>
    </row>
    <row r="32" spans="2:16" s="1" customFormat="1" ht="18" customHeight="1" x14ac:dyDescent="0.25">
      <c r="B32" s="4" t="s">
        <v>255</v>
      </c>
      <c r="C32" s="74"/>
      <c r="D32" s="1" t="s">
        <v>119</v>
      </c>
      <c r="E32" s="4" t="s">
        <v>182</v>
      </c>
      <c r="F32" s="74"/>
      <c r="G32" s="4" t="s">
        <v>241</v>
      </c>
      <c r="H32" s="74"/>
      <c r="O32" s="4" t="s">
        <v>185</v>
      </c>
      <c r="P32" s="1">
        <f>C18/6/3.6</f>
        <v>5.9722222222222225E-3</v>
      </c>
    </row>
    <row r="33" spans="2:16" s="1" customFormat="1" ht="18.75" customHeight="1" x14ac:dyDescent="0.25">
      <c r="B33" s="13" t="s">
        <v>256</v>
      </c>
      <c r="C33" s="74"/>
      <c r="D33" s="1" t="s">
        <v>118</v>
      </c>
      <c r="E33" s="4" t="s">
        <v>181</v>
      </c>
      <c r="F33" s="74"/>
      <c r="O33" s="4" t="s">
        <v>185</v>
      </c>
      <c r="P33" s="1">
        <f>C19/0.83*1.1</f>
        <v>8.4951807228915682E-2</v>
      </c>
    </row>
    <row r="34" spans="2:16" ht="13" x14ac:dyDescent="0.25">
      <c r="O34" s="4" t="s">
        <v>185</v>
      </c>
      <c r="P34" s="1">
        <f>C19/0.83*1.1</f>
        <v>8.4951807228915682E-2</v>
      </c>
    </row>
    <row r="35" spans="2:16" s="1" customFormat="1" ht="18" customHeight="1" x14ac:dyDescent="0.25">
      <c r="B35" s="108"/>
      <c r="C35" s="238" t="s">
        <v>242</v>
      </c>
      <c r="D35" s="238"/>
      <c r="E35" s="238"/>
      <c r="F35" s="238" t="s">
        <v>243</v>
      </c>
      <c r="G35" s="238"/>
      <c r="H35" s="238"/>
      <c r="I35" s="238" t="s">
        <v>81</v>
      </c>
      <c r="J35" s="238" t="s">
        <v>279</v>
      </c>
      <c r="M35" s="4" t="s">
        <v>185</v>
      </c>
      <c r="N35" s="1">
        <f>C18</f>
        <v>0.129</v>
      </c>
    </row>
    <row r="36" spans="2:16" s="1" customFormat="1" ht="18" customHeight="1" x14ac:dyDescent="0.25">
      <c r="B36" s="109"/>
      <c r="C36" s="110" t="s">
        <v>65</v>
      </c>
      <c r="D36" s="110" t="s">
        <v>55</v>
      </c>
      <c r="E36" s="110" t="s">
        <v>56</v>
      </c>
      <c r="F36" s="110" t="s">
        <v>65</v>
      </c>
      <c r="G36" s="110" t="s">
        <v>55</v>
      </c>
      <c r="H36" s="110" t="s">
        <v>56</v>
      </c>
      <c r="I36" s="238"/>
      <c r="J36" s="238"/>
    </row>
    <row r="37" spans="2:16" s="1" customFormat="1" ht="18" customHeight="1" x14ac:dyDescent="0.3">
      <c r="B37" s="111" t="s">
        <v>1</v>
      </c>
      <c r="C37" s="111"/>
      <c r="D37" s="111"/>
      <c r="E37" s="111"/>
      <c r="F37" s="111"/>
      <c r="G37" s="111"/>
      <c r="H37" s="111"/>
      <c r="I37" s="111"/>
      <c r="J37" s="111"/>
    </row>
    <row r="38" spans="2:16" s="1" customFormat="1" ht="18" customHeight="1" x14ac:dyDescent="0.25">
      <c r="B38" s="57" t="s">
        <v>45</v>
      </c>
      <c r="C38" s="74"/>
      <c r="D38" s="90"/>
      <c r="E38" s="91" t="str">
        <f t="shared" ref="E38:E45" si="0">IFERROR(VLOOKUP(C38,$B$18:$C$28,2,FALSE)*D38,"")</f>
        <v/>
      </c>
      <c r="F38" s="74"/>
      <c r="G38" s="90"/>
      <c r="H38" s="91" t="str">
        <f t="shared" ref="H38:H45" si="1">IFERROR(VLOOKUP(F38,$B$18:$C$28,2,FALSE)*G38,"")</f>
        <v/>
      </c>
      <c r="I38" s="53" t="str">
        <f>IFERROR((D38-G38)/D38,"")</f>
        <v/>
      </c>
      <c r="J38" s="74"/>
    </row>
    <row r="39" spans="2:16" s="1" customFormat="1" ht="18" customHeight="1" x14ac:dyDescent="0.25">
      <c r="B39" s="57" t="s">
        <v>45</v>
      </c>
      <c r="C39" s="74"/>
      <c r="D39" s="90"/>
      <c r="E39" s="91" t="str">
        <f t="shared" si="0"/>
        <v/>
      </c>
      <c r="F39" s="74"/>
      <c r="G39" s="90"/>
      <c r="H39" s="91" t="str">
        <f t="shared" si="1"/>
        <v/>
      </c>
      <c r="I39" s="53" t="str">
        <f t="shared" ref="I39:I41" si="2">IFERROR((D39-G39)/D39,"")</f>
        <v/>
      </c>
      <c r="J39" s="74"/>
    </row>
    <row r="40" spans="2:16" s="1" customFormat="1" ht="18" customHeight="1" x14ac:dyDescent="0.25">
      <c r="B40" s="57" t="s">
        <v>46</v>
      </c>
      <c r="C40" s="74"/>
      <c r="D40" s="90"/>
      <c r="E40" s="91" t="str">
        <f t="shared" si="0"/>
        <v/>
      </c>
      <c r="F40" s="74"/>
      <c r="G40" s="90"/>
      <c r="H40" s="91" t="str">
        <f t="shared" si="1"/>
        <v/>
      </c>
      <c r="I40" s="53" t="str">
        <f t="shared" si="2"/>
        <v/>
      </c>
      <c r="J40" s="74"/>
    </row>
    <row r="41" spans="2:16" s="1" customFormat="1" ht="18" customHeight="1" x14ac:dyDescent="0.25">
      <c r="B41" s="57" t="s">
        <v>46</v>
      </c>
      <c r="C41" s="74"/>
      <c r="D41" s="90"/>
      <c r="E41" s="91" t="str">
        <f t="shared" si="0"/>
        <v/>
      </c>
      <c r="F41" s="74"/>
      <c r="G41" s="90"/>
      <c r="H41" s="91" t="str">
        <f t="shared" si="1"/>
        <v/>
      </c>
      <c r="I41" s="53" t="str">
        <f t="shared" si="2"/>
        <v/>
      </c>
      <c r="J41" s="74"/>
    </row>
    <row r="42" spans="2:16" s="1" customFormat="1" ht="18" customHeight="1" x14ac:dyDescent="0.25">
      <c r="B42" s="57" t="s">
        <v>47</v>
      </c>
      <c r="C42" s="74"/>
      <c r="D42" s="90"/>
      <c r="E42" s="91" t="str">
        <f t="shared" si="0"/>
        <v/>
      </c>
      <c r="F42" s="74"/>
      <c r="G42" s="90"/>
      <c r="H42" s="91" t="str">
        <f t="shared" si="1"/>
        <v/>
      </c>
      <c r="I42" s="53" t="str">
        <f>IFERROR((D42-G42)/D42,"")</f>
        <v/>
      </c>
      <c r="J42" s="74"/>
    </row>
    <row r="43" spans="2:16" s="1" customFormat="1" ht="18" customHeight="1" x14ac:dyDescent="0.25">
      <c r="B43" s="57" t="s">
        <v>48</v>
      </c>
      <c r="C43" s="74"/>
      <c r="D43" s="90"/>
      <c r="E43" s="91" t="str">
        <f t="shared" si="0"/>
        <v/>
      </c>
      <c r="F43" s="74"/>
      <c r="G43" s="90"/>
      <c r="H43" s="91" t="str">
        <f t="shared" si="1"/>
        <v/>
      </c>
      <c r="I43" s="53" t="str">
        <f>IFERROR((D43-G43)/D43,"")</f>
        <v/>
      </c>
      <c r="J43" s="74"/>
    </row>
    <row r="44" spans="2:16" s="1" customFormat="1" ht="18" customHeight="1" x14ac:dyDescent="0.25">
      <c r="B44" s="57" t="s">
        <v>49</v>
      </c>
      <c r="C44" s="74"/>
      <c r="D44" s="90"/>
      <c r="E44" s="91" t="str">
        <f t="shared" si="0"/>
        <v/>
      </c>
      <c r="F44" s="74"/>
      <c r="G44" s="90"/>
      <c r="H44" s="91" t="str">
        <f t="shared" si="1"/>
        <v/>
      </c>
      <c r="I44" s="53" t="str">
        <f>IFERROR((D44-G44)/D44,"")</f>
        <v/>
      </c>
      <c r="J44" s="74"/>
    </row>
    <row r="45" spans="2:16" s="1" customFormat="1" ht="18" customHeight="1" x14ac:dyDescent="0.25">
      <c r="B45" s="57" t="s">
        <v>50</v>
      </c>
      <c r="C45" s="74"/>
      <c r="D45" s="90"/>
      <c r="E45" s="91" t="str">
        <f t="shared" si="0"/>
        <v/>
      </c>
      <c r="F45" s="74"/>
      <c r="G45" s="90"/>
      <c r="H45" s="91" t="str">
        <f t="shared" si="1"/>
        <v/>
      </c>
      <c r="I45" s="53" t="str">
        <f>IFERROR((D45-G45)/D45,"")</f>
        <v/>
      </c>
      <c r="J45" s="74"/>
    </row>
    <row r="46" spans="2:16" s="1" customFormat="1" ht="18" customHeight="1" x14ac:dyDescent="0.3">
      <c r="B46" s="77" t="s">
        <v>51</v>
      </c>
      <c r="C46" s="77"/>
      <c r="D46" s="92"/>
      <c r="E46" s="92"/>
      <c r="F46" s="77"/>
      <c r="G46" s="92"/>
      <c r="H46" s="92"/>
      <c r="I46" s="77"/>
      <c r="J46" s="77"/>
    </row>
    <row r="47" spans="2:16" s="1" customFormat="1" ht="18" customHeight="1" x14ac:dyDescent="0.25">
      <c r="B47" s="57" t="s">
        <v>3</v>
      </c>
      <c r="C47" s="74"/>
      <c r="D47" s="90"/>
      <c r="E47" s="91" t="str">
        <f t="shared" ref="E47:E60" si="3">IFERROR(VLOOKUP(C47,$B$18:$C$28,2,FALSE)*D47,"")</f>
        <v/>
      </c>
      <c r="F47" s="74"/>
      <c r="G47" s="90"/>
      <c r="H47" s="91" t="str">
        <f t="shared" ref="H47:H60" si="4">IFERROR(VLOOKUP(F47,$B$18:$C$28,2,FALSE)*G47,"")</f>
        <v/>
      </c>
      <c r="I47" s="53" t="str">
        <f t="shared" ref="I47:I60" si="5">IFERROR((D47-G47)/D47,"")</f>
        <v/>
      </c>
      <c r="J47" s="74"/>
    </row>
    <row r="48" spans="2:16" s="1" customFormat="1" ht="18" customHeight="1" x14ac:dyDescent="0.25">
      <c r="B48" s="57" t="s">
        <v>84</v>
      </c>
      <c r="C48" s="74"/>
      <c r="D48" s="90"/>
      <c r="E48" s="91" t="str">
        <f t="shared" si="3"/>
        <v/>
      </c>
      <c r="F48" s="74"/>
      <c r="G48" s="90"/>
      <c r="H48" s="91" t="str">
        <f t="shared" si="4"/>
        <v/>
      </c>
      <c r="I48" s="53" t="str">
        <f t="shared" si="5"/>
        <v/>
      </c>
      <c r="J48" s="74"/>
    </row>
    <row r="49" spans="2:10" s="1" customFormat="1" ht="18" customHeight="1" x14ac:dyDescent="0.25">
      <c r="B49" s="57" t="s">
        <v>85</v>
      </c>
      <c r="C49" s="74"/>
      <c r="D49" s="90"/>
      <c r="E49" s="91" t="str">
        <f t="shared" si="3"/>
        <v/>
      </c>
      <c r="F49" s="74"/>
      <c r="G49" s="90"/>
      <c r="H49" s="91" t="str">
        <f t="shared" si="4"/>
        <v/>
      </c>
      <c r="I49" s="53" t="str">
        <f t="shared" si="5"/>
        <v/>
      </c>
      <c r="J49" s="74"/>
    </row>
    <row r="50" spans="2:10" s="1" customFormat="1" ht="18" customHeight="1" x14ac:dyDescent="0.25">
      <c r="B50" s="57" t="s">
        <v>52</v>
      </c>
      <c r="C50" s="74"/>
      <c r="D50" s="90"/>
      <c r="E50" s="91" t="str">
        <f t="shared" si="3"/>
        <v/>
      </c>
      <c r="F50" s="74"/>
      <c r="G50" s="90"/>
      <c r="H50" s="91" t="str">
        <f t="shared" si="4"/>
        <v/>
      </c>
      <c r="I50" s="53" t="str">
        <f t="shared" si="5"/>
        <v/>
      </c>
      <c r="J50" s="74"/>
    </row>
    <row r="51" spans="2:10" s="1" customFormat="1" ht="18" customHeight="1" x14ac:dyDescent="0.25">
      <c r="B51" s="57" t="s">
        <v>528</v>
      </c>
      <c r="C51" s="74"/>
      <c r="D51" s="90"/>
      <c r="E51" s="91" t="str">
        <f t="shared" si="3"/>
        <v/>
      </c>
      <c r="F51" s="74"/>
      <c r="G51" s="90"/>
      <c r="H51" s="91" t="str">
        <f t="shared" ref="H51" si="6">IFERROR(VLOOKUP(F51,$B$18:$C$28,2,FALSE)*G51,"")</f>
        <v/>
      </c>
      <c r="I51" s="53" t="str">
        <f t="shared" ref="I51" si="7">IFERROR((D51-G51)/D51,"")</f>
        <v/>
      </c>
      <c r="J51" s="74"/>
    </row>
    <row r="52" spans="2:10" s="1" customFormat="1" ht="18" customHeight="1" x14ac:dyDescent="0.25">
      <c r="B52" s="57" t="s">
        <v>53</v>
      </c>
      <c r="C52" s="74"/>
      <c r="D52" s="90"/>
      <c r="E52" s="91" t="str">
        <f t="shared" si="3"/>
        <v/>
      </c>
      <c r="F52" s="74"/>
      <c r="G52" s="90"/>
      <c r="H52" s="91" t="str">
        <f t="shared" si="4"/>
        <v/>
      </c>
      <c r="I52" s="53" t="str">
        <f t="shared" si="5"/>
        <v/>
      </c>
      <c r="J52" s="74"/>
    </row>
    <row r="53" spans="2:10" s="1" customFormat="1" ht="18" customHeight="1" x14ac:dyDescent="0.25">
      <c r="B53" s="57" t="s">
        <v>54</v>
      </c>
      <c r="C53" s="74"/>
      <c r="D53" s="90"/>
      <c r="E53" s="91" t="str">
        <f t="shared" si="3"/>
        <v/>
      </c>
      <c r="F53" s="74"/>
      <c r="G53" s="90"/>
      <c r="H53" s="91" t="str">
        <f t="shared" si="4"/>
        <v/>
      </c>
      <c r="I53" s="53" t="str">
        <f t="shared" si="5"/>
        <v/>
      </c>
      <c r="J53" s="74"/>
    </row>
    <row r="54" spans="2:10" s="1" customFormat="1" ht="18" customHeight="1" x14ac:dyDescent="0.25">
      <c r="B54" s="57" t="s">
        <v>177</v>
      </c>
      <c r="C54" s="74"/>
      <c r="D54" s="90"/>
      <c r="E54" s="91" t="str">
        <f t="shared" si="3"/>
        <v/>
      </c>
      <c r="F54" s="74"/>
      <c r="G54" s="90"/>
      <c r="H54" s="91" t="str">
        <f t="shared" si="4"/>
        <v/>
      </c>
      <c r="I54" s="53" t="str">
        <f t="shared" si="5"/>
        <v/>
      </c>
      <c r="J54" s="74"/>
    </row>
    <row r="55" spans="2:10" s="1" customFormat="1" ht="18" customHeight="1" x14ac:dyDescent="0.25">
      <c r="B55" s="57" t="s">
        <v>183</v>
      </c>
      <c r="C55" s="74"/>
      <c r="D55" s="90"/>
      <c r="E55" s="91" t="str">
        <f t="shared" si="3"/>
        <v/>
      </c>
      <c r="F55" s="74"/>
      <c r="G55" s="90"/>
      <c r="H55" s="91" t="str">
        <f t="shared" si="4"/>
        <v/>
      </c>
      <c r="I55" s="53" t="str">
        <f t="shared" si="5"/>
        <v/>
      </c>
      <c r="J55" s="74"/>
    </row>
    <row r="56" spans="2:10" s="1" customFormat="1" ht="18" customHeight="1" x14ac:dyDescent="0.25">
      <c r="B56" s="74" t="s">
        <v>66</v>
      </c>
      <c r="C56" s="74"/>
      <c r="D56" s="90"/>
      <c r="E56" s="91" t="str">
        <f t="shared" si="3"/>
        <v/>
      </c>
      <c r="F56" s="74"/>
      <c r="G56" s="90"/>
      <c r="H56" s="91" t="str">
        <f t="shared" si="4"/>
        <v/>
      </c>
      <c r="I56" s="53" t="str">
        <f t="shared" si="5"/>
        <v/>
      </c>
      <c r="J56" s="74"/>
    </row>
    <row r="57" spans="2:10" s="1" customFormat="1" ht="18" customHeight="1" x14ac:dyDescent="0.25">
      <c r="B57" s="74" t="s">
        <v>67</v>
      </c>
      <c r="C57" s="74"/>
      <c r="D57" s="90"/>
      <c r="E57" s="91" t="str">
        <f t="shared" si="3"/>
        <v/>
      </c>
      <c r="F57" s="74"/>
      <c r="G57" s="90"/>
      <c r="H57" s="91" t="str">
        <f t="shared" si="4"/>
        <v/>
      </c>
      <c r="I57" s="53" t="str">
        <f t="shared" si="5"/>
        <v/>
      </c>
      <c r="J57" s="74"/>
    </row>
    <row r="58" spans="2:10" s="1" customFormat="1" ht="18" customHeight="1" x14ac:dyDescent="0.25">
      <c r="B58" s="74" t="s">
        <v>68</v>
      </c>
      <c r="C58" s="74"/>
      <c r="D58" s="90"/>
      <c r="E58" s="91" t="str">
        <f t="shared" si="3"/>
        <v/>
      </c>
      <c r="F58" s="74"/>
      <c r="G58" s="90"/>
      <c r="H58" s="91" t="str">
        <f t="shared" si="4"/>
        <v/>
      </c>
      <c r="I58" s="53" t="str">
        <f t="shared" si="5"/>
        <v/>
      </c>
      <c r="J58" s="74"/>
    </row>
    <row r="59" spans="2:10" s="1" customFormat="1" ht="18" customHeight="1" x14ac:dyDescent="0.25">
      <c r="B59" s="74" t="s">
        <v>69</v>
      </c>
      <c r="C59" s="74"/>
      <c r="D59" s="90"/>
      <c r="E59" s="91" t="str">
        <f t="shared" si="3"/>
        <v/>
      </c>
      <c r="F59" s="74"/>
      <c r="G59" s="90"/>
      <c r="H59" s="91" t="str">
        <f t="shared" si="4"/>
        <v/>
      </c>
      <c r="I59" s="53" t="str">
        <f t="shared" si="5"/>
        <v/>
      </c>
      <c r="J59" s="74"/>
    </row>
    <row r="60" spans="2:10" s="1" customFormat="1" ht="18" customHeight="1" x14ac:dyDescent="0.25">
      <c r="B60" s="74" t="s">
        <v>70</v>
      </c>
      <c r="C60" s="74"/>
      <c r="D60" s="90"/>
      <c r="E60" s="91" t="str">
        <f t="shared" si="3"/>
        <v/>
      </c>
      <c r="F60" s="74"/>
      <c r="G60" s="90"/>
      <c r="H60" s="91" t="str">
        <f t="shared" si="4"/>
        <v/>
      </c>
      <c r="I60" s="53" t="str">
        <f t="shared" si="5"/>
        <v/>
      </c>
      <c r="J60" s="74"/>
    </row>
    <row r="61" spans="2:10" s="1" customFormat="1" ht="18" customHeight="1" x14ac:dyDescent="0.25">
      <c r="B61" s="58" t="s">
        <v>38</v>
      </c>
      <c r="C61" s="54"/>
      <c r="D61" s="93">
        <f>SUMIF($C$38:$C$60,"Grid Electricity",D38:D60)*3.6+SUMIF($C$38:$C$60,"&lt;&gt;Grid Electricity",D38:D60)</f>
        <v>0</v>
      </c>
      <c r="E61" s="93">
        <f>SUM(E38:E60)</f>
        <v>0</v>
      </c>
      <c r="F61" s="54"/>
      <c r="G61" s="93">
        <f>SUMIF($F$38:$F$60,"Grid Electricity",G38:G60)*3.6+SUMIF($F$38:$F$60,"&lt;&gt;Grid Electricity",G38:G60)</f>
        <v>0</v>
      </c>
      <c r="H61" s="93">
        <f>SUM(H38:H60)</f>
        <v>0</v>
      </c>
      <c r="I61" s="54"/>
    </row>
    <row r="62" spans="2:10" s="1" customFormat="1" x14ac:dyDescent="0.25">
      <c r="B62" s="59"/>
    </row>
    <row r="63" spans="2:10" s="1" customFormat="1" ht="15" customHeight="1" x14ac:dyDescent="0.3">
      <c r="B63" s="77" t="s">
        <v>57</v>
      </c>
      <c r="C63" s="77"/>
      <c r="D63" s="77"/>
      <c r="E63" s="77"/>
      <c r="F63" s="77"/>
      <c r="G63" s="77"/>
      <c r="H63" s="77"/>
      <c r="I63" s="77"/>
      <c r="J63" s="77"/>
    </row>
    <row r="64" spans="2:10" s="1" customFormat="1" ht="15" customHeight="1" x14ac:dyDescent="0.25">
      <c r="B64" s="60" t="s">
        <v>41</v>
      </c>
      <c r="C64" s="49"/>
      <c r="D64" s="90">
        <v>0</v>
      </c>
      <c r="E64" s="90">
        <v>0</v>
      </c>
      <c r="F64" s="74" t="s">
        <v>73</v>
      </c>
      <c r="G64" s="74"/>
      <c r="H64" s="91">
        <f>IFERROR(VLOOKUP(F64,$B$18:$C$28,2,FALSE)*G64,"")</f>
        <v>0</v>
      </c>
      <c r="I64" s="49"/>
      <c r="J64" s="61"/>
    </row>
    <row r="65" spans="2:10" s="1" customFormat="1" ht="15" customHeight="1" x14ac:dyDescent="0.25">
      <c r="B65" s="60" t="s">
        <v>58</v>
      </c>
      <c r="C65" s="49"/>
      <c r="D65" s="90">
        <v>0</v>
      </c>
      <c r="E65" s="90">
        <v>0</v>
      </c>
      <c r="F65" s="74"/>
      <c r="G65" s="74"/>
      <c r="H65" s="91" t="str">
        <f>IFERROR(VLOOKUP(F65,$B$18:$C$28,2,FALSE)*G65,"")</f>
        <v/>
      </c>
      <c r="I65" s="49"/>
      <c r="J65" s="61"/>
    </row>
    <row r="66" spans="2:10" s="1" customFormat="1" ht="15" customHeight="1" x14ac:dyDescent="0.3">
      <c r="B66" s="77" t="s">
        <v>59</v>
      </c>
      <c r="C66" s="77"/>
      <c r="D66" s="92"/>
      <c r="E66" s="92"/>
      <c r="F66" s="77"/>
      <c r="G66" s="77"/>
      <c r="H66" s="92"/>
      <c r="I66" s="77"/>
      <c r="J66" s="77"/>
    </row>
    <row r="67" spans="2:10" s="1" customFormat="1" ht="15" customHeight="1" x14ac:dyDescent="0.25">
      <c r="B67" s="60" t="s">
        <v>60</v>
      </c>
      <c r="C67" s="49"/>
      <c r="D67" s="90">
        <v>0</v>
      </c>
      <c r="E67" s="90">
        <v>0</v>
      </c>
      <c r="F67" s="74"/>
      <c r="G67" s="74"/>
      <c r="H67" s="91" t="str">
        <f>IFERROR(VLOOKUP(F67,$B$18:$C$28,2,FALSE)*G67,"")</f>
        <v/>
      </c>
      <c r="I67" s="49"/>
      <c r="J67" s="61"/>
    </row>
    <row r="68" spans="2:10" s="1" customFormat="1" ht="15" customHeight="1" x14ac:dyDescent="0.25">
      <c r="B68" s="60" t="s">
        <v>61</v>
      </c>
      <c r="C68" s="49"/>
      <c r="D68" s="90">
        <v>0</v>
      </c>
      <c r="E68" s="90">
        <v>0</v>
      </c>
      <c r="F68" s="74"/>
      <c r="G68" s="74"/>
      <c r="H68" s="91" t="str">
        <f>IFERROR(VLOOKUP(F68,$B$18:$C$28,2,FALSE)*G68,"")</f>
        <v/>
      </c>
      <c r="I68" s="49"/>
      <c r="J68" s="61"/>
    </row>
    <row r="69" spans="2:10" s="1" customFormat="1" ht="15" customHeight="1" x14ac:dyDescent="0.3">
      <c r="B69" s="77" t="s">
        <v>63</v>
      </c>
      <c r="C69" s="77"/>
      <c r="D69" s="92"/>
      <c r="E69" s="92"/>
      <c r="F69" s="77"/>
      <c r="G69" s="77"/>
      <c r="H69" s="92"/>
      <c r="I69" s="77"/>
      <c r="J69" s="77"/>
    </row>
    <row r="70" spans="2:10" s="1" customFormat="1" ht="15" customHeight="1" x14ac:dyDescent="0.25">
      <c r="B70" s="60" t="s">
        <v>64</v>
      </c>
      <c r="C70" s="49"/>
      <c r="D70" s="90">
        <v>0</v>
      </c>
      <c r="E70" s="90">
        <v>0</v>
      </c>
      <c r="F70" s="74"/>
      <c r="G70" s="74"/>
      <c r="H70" s="91" t="str">
        <f>IFERROR(VLOOKUP(F70,$B$18:$C$28,2,FALSE)*G70,"")</f>
        <v/>
      </c>
      <c r="I70" s="49"/>
      <c r="J70" s="61"/>
    </row>
    <row r="71" spans="2:10" s="1" customFormat="1" ht="13" x14ac:dyDescent="0.25">
      <c r="B71" s="13"/>
      <c r="C71" s="4"/>
      <c r="D71" s="4"/>
      <c r="E71" s="4"/>
      <c r="F71" s="4"/>
      <c r="G71" s="4"/>
      <c r="H71" s="4"/>
      <c r="I71" s="4" t="s">
        <v>184</v>
      </c>
      <c r="J71" s="62"/>
    </row>
    <row r="72" spans="2:10" s="1" customFormat="1" ht="15" customHeight="1" x14ac:dyDescent="0.25">
      <c r="B72" s="239" t="s">
        <v>80</v>
      </c>
      <c r="C72" s="55" t="s">
        <v>78</v>
      </c>
      <c r="D72" s="94">
        <f t="shared" ref="D72:E82" si="8">SUMIF($C$38:$C$60,$C72,D$38:D$60)+SUMIF($C$64:$C$70,$C72,D$64:D$70)</f>
        <v>0</v>
      </c>
      <c r="E72" s="94">
        <f t="shared" si="8"/>
        <v>0</v>
      </c>
      <c r="F72" s="94"/>
      <c r="G72" s="94">
        <f t="shared" ref="G72:H82" si="9">SUMIF($F$38:$F$60,$C72,G$38:G$60)+SUMIF($F$64:$F$70,$C72,G$64:G$70)</f>
        <v>0</v>
      </c>
      <c r="H72" s="94">
        <f t="shared" si="9"/>
        <v>0</v>
      </c>
      <c r="I72" s="94">
        <f t="shared" ref="I72:I78" si="10">G72*C18</f>
        <v>0</v>
      </c>
      <c r="J72" s="34"/>
    </row>
    <row r="73" spans="2:10" s="1" customFormat="1" ht="15" customHeight="1" x14ac:dyDescent="0.25">
      <c r="B73" s="240"/>
      <c r="C73" s="55" t="s">
        <v>62</v>
      </c>
      <c r="D73" s="94">
        <f t="shared" si="8"/>
        <v>0</v>
      </c>
      <c r="E73" s="94">
        <f t="shared" si="8"/>
        <v>0</v>
      </c>
      <c r="F73" s="94"/>
      <c r="G73" s="94">
        <f t="shared" si="9"/>
        <v>0</v>
      </c>
      <c r="H73" s="94">
        <f t="shared" si="9"/>
        <v>0</v>
      </c>
      <c r="I73" s="94">
        <f t="shared" si="10"/>
        <v>0</v>
      </c>
      <c r="J73" s="34"/>
    </row>
    <row r="74" spans="2:10" s="1" customFormat="1" ht="15" customHeight="1" x14ac:dyDescent="0.25">
      <c r="B74" s="240"/>
      <c r="C74" s="55" t="s">
        <v>71</v>
      </c>
      <c r="D74" s="94">
        <f t="shared" si="8"/>
        <v>0</v>
      </c>
      <c r="E74" s="94">
        <f t="shared" si="8"/>
        <v>0</v>
      </c>
      <c r="F74" s="94"/>
      <c r="G74" s="94">
        <f t="shared" si="9"/>
        <v>0</v>
      </c>
      <c r="H74" s="94">
        <f t="shared" si="9"/>
        <v>0</v>
      </c>
      <c r="I74" s="94">
        <f t="shared" si="10"/>
        <v>0</v>
      </c>
      <c r="J74" s="34"/>
    </row>
    <row r="75" spans="2:10" s="1" customFormat="1" ht="15" customHeight="1" x14ac:dyDescent="0.25">
      <c r="B75" s="240"/>
      <c r="C75" s="55" t="s">
        <v>72</v>
      </c>
      <c r="D75" s="94">
        <f t="shared" si="8"/>
        <v>0</v>
      </c>
      <c r="E75" s="94">
        <f t="shared" si="8"/>
        <v>0</v>
      </c>
      <c r="F75" s="94"/>
      <c r="G75" s="94">
        <f t="shared" si="9"/>
        <v>0</v>
      </c>
      <c r="H75" s="94">
        <f t="shared" si="9"/>
        <v>0</v>
      </c>
      <c r="I75" s="94">
        <f t="shared" si="10"/>
        <v>0</v>
      </c>
      <c r="J75" s="34"/>
    </row>
    <row r="76" spans="2:10" s="1" customFormat="1" ht="15" customHeight="1" x14ac:dyDescent="0.25">
      <c r="B76" s="240"/>
      <c r="C76" s="55" t="s">
        <v>73</v>
      </c>
      <c r="D76" s="94">
        <f t="shared" si="8"/>
        <v>0</v>
      </c>
      <c r="E76" s="94">
        <f t="shared" si="8"/>
        <v>0</v>
      </c>
      <c r="F76" s="94"/>
      <c r="G76" s="94">
        <f t="shared" si="9"/>
        <v>0</v>
      </c>
      <c r="H76" s="94">
        <f t="shared" si="9"/>
        <v>0</v>
      </c>
      <c r="I76" s="94">
        <f t="shared" si="10"/>
        <v>0</v>
      </c>
      <c r="J76" s="34"/>
    </row>
    <row r="77" spans="2:10" s="1" customFormat="1" ht="15" customHeight="1" x14ac:dyDescent="0.25">
      <c r="B77" s="240"/>
      <c r="C77" s="55" t="s">
        <v>74</v>
      </c>
      <c r="D77" s="94">
        <f t="shared" si="8"/>
        <v>0</v>
      </c>
      <c r="E77" s="94">
        <f t="shared" si="8"/>
        <v>0</v>
      </c>
      <c r="F77" s="94"/>
      <c r="G77" s="94">
        <f t="shared" si="9"/>
        <v>0</v>
      </c>
      <c r="H77" s="94">
        <f t="shared" si="9"/>
        <v>0</v>
      </c>
      <c r="I77" s="94">
        <f t="shared" si="10"/>
        <v>0</v>
      </c>
      <c r="J77" s="34"/>
    </row>
    <row r="78" spans="2:10" s="1" customFormat="1" ht="15" customHeight="1" x14ac:dyDescent="0.25">
      <c r="B78" s="240"/>
      <c r="C78" s="55" t="s">
        <v>75</v>
      </c>
      <c r="D78" s="94">
        <f t="shared" si="8"/>
        <v>0</v>
      </c>
      <c r="E78" s="94">
        <f t="shared" si="8"/>
        <v>0</v>
      </c>
      <c r="F78" s="94"/>
      <c r="G78" s="94">
        <f t="shared" si="9"/>
        <v>0</v>
      </c>
      <c r="H78" s="94">
        <f t="shared" si="9"/>
        <v>0</v>
      </c>
      <c r="I78" s="94">
        <f t="shared" si="10"/>
        <v>0</v>
      </c>
      <c r="J78" s="34"/>
    </row>
    <row r="79" spans="2:10" s="1" customFormat="1" ht="15" customHeight="1" x14ac:dyDescent="0.25">
      <c r="B79" s="240"/>
      <c r="C79" s="55" t="s">
        <v>76</v>
      </c>
      <c r="D79" s="94">
        <f t="shared" si="8"/>
        <v>0</v>
      </c>
      <c r="E79" s="94">
        <f t="shared" si="8"/>
        <v>0</v>
      </c>
      <c r="F79" s="94"/>
      <c r="G79" s="94">
        <f t="shared" si="9"/>
        <v>0</v>
      </c>
      <c r="H79" s="94">
        <f t="shared" si="9"/>
        <v>0</v>
      </c>
      <c r="I79" s="94">
        <f>G79*P32</f>
        <v>0</v>
      </c>
      <c r="J79" s="34"/>
    </row>
    <row r="80" spans="2:10" s="1" customFormat="1" ht="15" customHeight="1" x14ac:dyDescent="0.25">
      <c r="B80" s="240"/>
      <c r="C80" s="55" t="s">
        <v>77</v>
      </c>
      <c r="D80" s="94">
        <f t="shared" si="8"/>
        <v>0</v>
      </c>
      <c r="E80" s="94">
        <f t="shared" si="8"/>
        <v>0</v>
      </c>
      <c r="F80" s="94"/>
      <c r="G80" s="94">
        <f t="shared" si="9"/>
        <v>0</v>
      </c>
      <c r="H80" s="94">
        <f t="shared" si="9"/>
        <v>0</v>
      </c>
      <c r="I80" s="94">
        <f>G80*P33</f>
        <v>0</v>
      </c>
      <c r="J80" s="34"/>
    </row>
    <row r="81" spans="2:17" s="1" customFormat="1" ht="15" customHeight="1" x14ac:dyDescent="0.25">
      <c r="B81" s="240"/>
      <c r="C81" s="55" t="s">
        <v>175</v>
      </c>
      <c r="D81" s="94">
        <f t="shared" si="8"/>
        <v>0</v>
      </c>
      <c r="E81" s="94">
        <f t="shared" si="8"/>
        <v>0</v>
      </c>
      <c r="F81" s="94"/>
      <c r="G81" s="94">
        <f t="shared" si="9"/>
        <v>0</v>
      </c>
      <c r="H81" s="94">
        <f t="shared" si="9"/>
        <v>0</v>
      </c>
      <c r="I81" s="94">
        <f>G81*P34</f>
        <v>0</v>
      </c>
      <c r="J81" s="34"/>
    </row>
    <row r="82" spans="2:17" s="1" customFormat="1" ht="45.75" customHeight="1" x14ac:dyDescent="0.25">
      <c r="B82" s="241"/>
      <c r="C82" s="56" t="s">
        <v>186</v>
      </c>
      <c r="D82" s="94">
        <f t="shared" si="8"/>
        <v>0</v>
      </c>
      <c r="E82" s="94">
        <f t="shared" si="8"/>
        <v>0</v>
      </c>
      <c r="F82" s="94"/>
      <c r="G82" s="94">
        <f t="shared" si="9"/>
        <v>0</v>
      </c>
      <c r="H82" s="94">
        <f t="shared" si="9"/>
        <v>0</v>
      </c>
      <c r="I82" s="94">
        <f>G82*N35</f>
        <v>0</v>
      </c>
      <c r="J82" s="34"/>
    </row>
    <row r="83" spans="2:17" s="1" customFormat="1" ht="15" customHeight="1" thickBot="1" x14ac:dyDescent="0.3">
      <c r="B83" s="44" t="s">
        <v>38</v>
      </c>
      <c r="C83" s="44"/>
      <c r="D83" s="66">
        <f>SUMIF($C$72:$C$82,"Grid Electricity",D72:D82)*3.6+SUMIF($C$72:$C$82,"&lt;&gt;Grid Electricity",D72:D82)</f>
        <v>0</v>
      </c>
      <c r="E83" s="66">
        <f>SUM(E72:E82)</f>
        <v>0</v>
      </c>
      <c r="F83" s="95"/>
      <c r="G83" s="66">
        <f>SUMIF($C$72:$C$82,"Grid Electricity",G72:G82)*3.6+SUMIF($C$72:$C$82,"&lt;&gt;Grid Electricity",G72:G82)</f>
        <v>0</v>
      </c>
      <c r="H83" s="66">
        <f>SUM(H72:H82)</f>
        <v>0</v>
      </c>
      <c r="I83" s="66">
        <f>SUM(I72:I82)</f>
        <v>0</v>
      </c>
      <c r="J83" s="44"/>
    </row>
    <row r="84" spans="2:17" s="1" customFormat="1" ht="15" customHeight="1" thickTop="1" thickBot="1" x14ac:dyDescent="0.3">
      <c r="B84" s="44" t="s">
        <v>86</v>
      </c>
      <c r="C84" s="44"/>
      <c r="D84" s="95"/>
      <c r="E84" s="95"/>
      <c r="F84" s="95"/>
      <c r="G84" s="66">
        <f>SUM(G64:G65)</f>
        <v>0</v>
      </c>
      <c r="H84" s="66">
        <f>SUM(H64:H65)</f>
        <v>0</v>
      </c>
      <c r="I84" s="66"/>
      <c r="J84" s="44"/>
    </row>
    <row r="85" spans="2:17" s="1" customFormat="1" ht="13.5" thickTop="1" x14ac:dyDescent="0.25">
      <c r="B85" s="13"/>
      <c r="D85" s="4"/>
      <c r="E85" s="4"/>
      <c r="F85" s="4"/>
      <c r="G85" s="4"/>
      <c r="H85" s="4"/>
      <c r="I85" s="4"/>
      <c r="J85" s="62"/>
    </row>
    <row r="86" spans="2:17" s="8" customFormat="1" x14ac:dyDescent="0.25">
      <c r="B86" s="63"/>
    </row>
    <row r="87" spans="2:17" s="8" customFormat="1" ht="18" customHeight="1" x14ac:dyDescent="0.3">
      <c r="B87" s="77" t="s">
        <v>44</v>
      </c>
      <c r="C87" s="77"/>
      <c r="D87" s="77"/>
    </row>
    <row r="88" spans="2:17" s="1" customFormat="1" ht="18" customHeight="1" x14ac:dyDescent="0.3">
      <c r="B88" s="77" t="s">
        <v>172</v>
      </c>
      <c r="C88" s="77"/>
      <c r="D88" s="77"/>
      <c r="E88" s="4"/>
      <c r="F88" s="4"/>
      <c r="G88" s="4"/>
      <c r="H88" s="4"/>
      <c r="I88" s="4"/>
      <c r="J88" s="4"/>
      <c r="K88" s="4"/>
    </row>
    <row r="89" spans="2:17" s="1" customFormat="1" ht="18" customHeight="1" x14ac:dyDescent="0.25">
      <c r="B89" s="64" t="s">
        <v>244</v>
      </c>
      <c r="C89" s="89">
        <f>0.9*E61</f>
        <v>0</v>
      </c>
      <c r="D89" s="64" t="s">
        <v>83</v>
      </c>
    </row>
    <row r="90" spans="2:17" s="1" customFormat="1" ht="29.25" customHeight="1" x14ac:dyDescent="0.25">
      <c r="B90" s="64" t="s">
        <v>245</v>
      </c>
      <c r="C90" s="89">
        <f>I83</f>
        <v>0</v>
      </c>
      <c r="D90" s="64" t="s">
        <v>83</v>
      </c>
    </row>
    <row r="91" spans="2:17" s="1" customFormat="1" ht="18" customHeight="1" x14ac:dyDescent="0.25">
      <c r="B91" s="64" t="s">
        <v>246</v>
      </c>
      <c r="C91" s="89">
        <f>H83</f>
        <v>0</v>
      </c>
      <c r="D91" s="64" t="s">
        <v>83</v>
      </c>
    </row>
    <row r="92" spans="2:17" s="1" customFormat="1" ht="18" customHeight="1" x14ac:dyDescent="0.25">
      <c r="B92" s="9"/>
      <c r="C92" s="96"/>
    </row>
    <row r="93" spans="2:17" s="1" customFormat="1" ht="18" customHeight="1" x14ac:dyDescent="0.25">
      <c r="B93" s="64" t="s">
        <v>191</v>
      </c>
      <c r="C93" s="89" t="str">
        <f>IF(C91&lt;=C89,"PASS","FAIL")</f>
        <v>PASS</v>
      </c>
    </row>
    <row r="94" spans="2:17" s="1" customFormat="1" ht="18" customHeight="1" x14ac:dyDescent="0.25">
      <c r="B94" s="64" t="s">
        <v>81</v>
      </c>
      <c r="C94" s="97" t="str">
        <f>IFERROR((C89-C91)/C89,"")</f>
        <v/>
      </c>
      <c r="D94" s="4"/>
    </row>
    <row r="95" spans="2:17" s="1" customFormat="1" ht="18" customHeight="1" x14ac:dyDescent="0.25">
      <c r="B95" s="64" t="s">
        <v>187</v>
      </c>
      <c r="C95" s="89" t="str">
        <f>IFERROR(MIN((C89-C90)/C89/Q96,Q96)*O96,"")</f>
        <v/>
      </c>
      <c r="D95" s="4"/>
    </row>
    <row r="96" spans="2:17" s="1" customFormat="1" ht="18" customHeight="1" x14ac:dyDescent="0.25">
      <c r="B96" s="64" t="s">
        <v>82</v>
      </c>
      <c r="C96" s="180" t="str">
        <f>IF(C94&lt;0, 0, IFERROR(MIN(MIN(C94/Q96*O96,2*C95),O96),""))</f>
        <v/>
      </c>
      <c r="O96" s="1">
        <f>$C$107*P96</f>
        <v>20</v>
      </c>
      <c r="P96" s="38">
        <v>1</v>
      </c>
      <c r="Q96" s="38">
        <v>1</v>
      </c>
    </row>
    <row r="97" spans="1:17" s="1" customFormat="1" ht="18" customHeight="1" x14ac:dyDescent="0.25">
      <c r="B97" s="9"/>
      <c r="C97" s="96"/>
    </row>
    <row r="98" spans="1:17" s="1" customFormat="1" ht="33" customHeight="1" x14ac:dyDescent="0.25">
      <c r="B98" s="204" t="s">
        <v>352</v>
      </c>
      <c r="C98" s="211"/>
    </row>
    <row r="99" spans="1:17" s="1" customFormat="1" ht="26.25" customHeight="1" x14ac:dyDescent="0.25">
      <c r="B99" s="205" t="s">
        <v>267</v>
      </c>
      <c r="C99" s="212"/>
      <c r="O99" s="1" t="s">
        <v>353</v>
      </c>
    </row>
    <row r="100" spans="1:17" s="1" customFormat="1" ht="18" customHeight="1" x14ac:dyDescent="0.25">
      <c r="B100" s="206"/>
      <c r="C100" s="96"/>
      <c r="O100" s="1">
        <f>IF(AND(C98=0, C99=0), 0,MIN(C96,C96*C98*C99/5))</f>
        <v>0</v>
      </c>
    </row>
    <row r="101" spans="1:17" s="1" customFormat="1" ht="34.5" customHeight="1" x14ac:dyDescent="0.25">
      <c r="B101" s="207" t="s">
        <v>171</v>
      </c>
      <c r="C101" s="213" t="str">
        <f>IFERROR((-1*H84)/H61, "")</f>
        <v/>
      </c>
    </row>
    <row r="102" spans="1:17" s="1" customFormat="1" ht="18" customHeight="1" x14ac:dyDescent="0.25">
      <c r="B102" s="64" t="s">
        <v>190</v>
      </c>
      <c r="C102" s="194" t="str">
        <f>IFERROR(MIN(C101/Q102,1)*O102,"")</f>
        <v/>
      </c>
      <c r="O102" s="1">
        <v>2</v>
      </c>
      <c r="P102" s="38">
        <v>0.1</v>
      </c>
      <c r="Q102" s="38">
        <v>0.1</v>
      </c>
    </row>
    <row r="103" spans="1:17" s="1" customFormat="1" ht="18" customHeight="1" x14ac:dyDescent="0.25">
      <c r="B103" s="59"/>
      <c r="C103" s="181"/>
      <c r="P103" s="38"/>
      <c r="Q103" s="38"/>
    </row>
    <row r="104" spans="1:17" s="1" customFormat="1" ht="27.75" customHeight="1" x14ac:dyDescent="0.25">
      <c r="B104" s="64" t="s">
        <v>345</v>
      </c>
      <c r="C104" s="237" t="str">
        <f>IF(P108=1, "Conditional Requirement Met", "Conditional Requirement not met")</f>
        <v>Conditional Requirement Met</v>
      </c>
      <c r="D104" s="237"/>
      <c r="O104" s="128" t="s">
        <v>347</v>
      </c>
      <c r="P104" s="171"/>
      <c r="Q104" s="38"/>
    </row>
    <row r="105" spans="1:17" s="1" customFormat="1" ht="18" customHeight="1" x14ac:dyDescent="0.25">
      <c r="B105" s="9"/>
      <c r="C105" s="50"/>
      <c r="O105" s="130" t="s">
        <v>348</v>
      </c>
      <c r="P105" s="173">
        <f>IF(AND($C$11=O105, $C$96&gt;0), 1,0)</f>
        <v>0</v>
      </c>
      <c r="Q105" s="38"/>
    </row>
    <row r="106" spans="1:17" s="1" customFormat="1" ht="18" customHeight="1" thickBot="1" x14ac:dyDescent="0.3">
      <c r="B106" s="44" t="s">
        <v>38</v>
      </c>
      <c r="C106" s="85">
        <f>IF(C93="FAIL",0,MIN(SUM(C96,O100),C107))</f>
        <v>0</v>
      </c>
      <c r="O106" s="130" t="s">
        <v>349</v>
      </c>
      <c r="P106" s="173">
        <f t="shared" ref="P106" si="11">IF(AND($C$11=O106, $C$96&gt;0), 1,0)</f>
        <v>0</v>
      </c>
    </row>
    <row r="107" spans="1:17" s="1" customFormat="1" ht="18" customHeight="1" thickTop="1" thickBot="1" x14ac:dyDescent="0.3">
      <c r="B107" s="44" t="s">
        <v>247</v>
      </c>
      <c r="C107" s="98">
        <v>20</v>
      </c>
      <c r="O107" s="175" t="s">
        <v>350</v>
      </c>
      <c r="P107" s="173">
        <f>IF(AND($C$11=O107, $C$96&gt;0), 1,0)</f>
        <v>1</v>
      </c>
    </row>
    <row r="108" spans="1:17" s="1" customFormat="1" ht="18" customHeight="1" thickTop="1" x14ac:dyDescent="0.25">
      <c r="B108" s="65"/>
      <c r="C108" s="43"/>
      <c r="O108" s="177"/>
      <c r="P108" s="178">
        <f>IF($C$11="","",VLOOKUP(C11,O105:P107,2,FALSE))</f>
        <v>1</v>
      </c>
    </row>
    <row r="109" spans="1:17" s="1" customFormat="1" ht="13" x14ac:dyDescent="0.25">
      <c r="B109" s="13"/>
      <c r="C109" s="51"/>
    </row>
    <row r="110" spans="1:17" s="29" customFormat="1" x14ac:dyDescent="0.25">
      <c r="A110" s="1"/>
      <c r="B110" s="1"/>
      <c r="C110" s="1"/>
      <c r="D110" s="1"/>
      <c r="E110" s="1"/>
      <c r="F110" s="1"/>
      <c r="G110" s="1"/>
      <c r="H110" s="1"/>
    </row>
    <row r="111" spans="1:17" s="28" customFormat="1" ht="12.75" customHeight="1" x14ac:dyDescent="0.25">
      <c r="A111" s="29"/>
      <c r="B111" s="29"/>
      <c r="C111" s="29"/>
      <c r="D111" s="29"/>
      <c r="E111" s="29"/>
      <c r="F111" s="29"/>
      <c r="G111" s="29"/>
      <c r="H111" s="29"/>
    </row>
    <row r="112" spans="1:17" s="1" customFormat="1" x14ac:dyDescent="0.25">
      <c r="A112" s="28"/>
      <c r="B112" s="28"/>
      <c r="C112" s="28"/>
      <c r="D112" s="28"/>
      <c r="E112" s="28"/>
      <c r="F112" s="28"/>
      <c r="G112" s="28"/>
      <c r="H112" s="28"/>
      <c r="P112" s="1" t="s">
        <v>102</v>
      </c>
      <c r="Q112" s="1" t="s">
        <v>101</v>
      </c>
    </row>
    <row r="113" spans="15:17" s="1" customFormat="1" ht="18" customHeight="1" x14ac:dyDescent="0.25">
      <c r="O113" s="52">
        <f>C117</f>
        <v>0</v>
      </c>
      <c r="P113" s="38">
        <v>0.1</v>
      </c>
      <c r="Q113" s="38">
        <v>0.3</v>
      </c>
    </row>
    <row r="114" spans="15:17" s="1" customFormat="1" ht="18" customHeight="1" x14ac:dyDescent="0.25">
      <c r="O114" s="52"/>
      <c r="P114" s="7">
        <f>C117/(Q113-P113)</f>
        <v>0</v>
      </c>
      <c r="Q114" s="7">
        <f>-1*P113*P114</f>
        <v>0</v>
      </c>
    </row>
    <row r="115" spans="15:17" s="1" customFormat="1" ht="18" customHeight="1" x14ac:dyDescent="0.25"/>
    <row r="116" spans="15:17" s="1" customFormat="1" ht="18" customHeight="1" x14ac:dyDescent="0.25"/>
    <row r="117" spans="15:17" s="1" customFormat="1" ht="18" customHeight="1" x14ac:dyDescent="0.25"/>
  </sheetData>
  <sheetProtection algorithmName="SHA-512" hashValue="TlH9qn+BWv65nDRSWEbEIZMt1Q/MBfX2suqddiVZFaD1LyJFmrf1ujOB1rAROPojKgCplYyR1MyOPGgpFbKcJQ==" saltValue="kqDc/+kLt+DO+cmLpZ59Rw==" spinCount="100000" sheet="1" objects="1" scenarios="1"/>
  <customSheetViews>
    <customSheetView guid="{E57EC305-7DFD-421A-BB34-3221A8A7CE7D}" scale="70" topLeftCell="A69">
      <selection activeCell="G99" sqref="G99"/>
      <pageMargins left="0.7" right="0.7" top="0.75" bottom="0.75" header="0.3" footer="0.3"/>
      <pageSetup paperSize="254" orientation="portrait" r:id="rId1"/>
    </customSheetView>
    <customSheetView guid="{63FDFA20-8B8F-4388-AE98-CEF9EC3DA1CE}" showGridLines="0">
      <selection activeCell="G20" sqref="G20"/>
      <pageMargins left="0.7" right="0.7" top="0.75" bottom="0.75" header="0.3" footer="0.3"/>
      <pageSetup paperSize="254" orientation="portrait" r:id="rId2"/>
    </customSheetView>
  </customSheetViews>
  <mergeCells count="6">
    <mergeCell ref="C104:D104"/>
    <mergeCell ref="F35:H35"/>
    <mergeCell ref="C35:E35"/>
    <mergeCell ref="J35:J36"/>
    <mergeCell ref="B72:B82"/>
    <mergeCell ref="I35:I36"/>
  </mergeCells>
  <dataValidations count="11">
    <dataValidation type="decimal" allowBlank="1" showInputMessage="1" showErrorMessage="1" promptTitle="Utility Electricity" prompt="Enter the GHG intensity for electricity delivered from a shared utility service" sqref="C33" xr:uid="{00000000-0002-0000-0500-000000000000}">
      <formula1>0</formula1>
      <formula2>2</formula2>
    </dataValidation>
    <dataValidation type="decimal" allowBlank="1" showInputMessage="1" showErrorMessage="1" promptTitle="Utility HHW Thermal Energy" prompt="Enter the GHG intensity for HHW delivered from a shared utility service" sqref="C31" xr:uid="{00000000-0002-0000-0500-000001000000}">
      <formula1>0</formula1>
      <formula2>0.5</formula2>
    </dataValidation>
    <dataValidation type="decimal" allowBlank="1" showInputMessage="1" showErrorMessage="1" promptTitle="Utility CHW Thermal Energy" prompt="Enter the GHG intensity for CHW delivered from a shared utility service" sqref="C30" xr:uid="{00000000-0002-0000-0500-000002000000}">
      <formula1>0</formula1>
      <formula2>0.5</formula2>
    </dataValidation>
    <dataValidation type="decimal" allowBlank="1" showInputMessage="1" showErrorMessage="1" promptTitle="Utility DHW Thermal Energy" prompt="Enter the GHG intensity for HHW delivered from a shared utility service" sqref="C32" xr:uid="{00000000-0002-0000-0500-000003000000}">
      <formula1>0</formula1>
      <formula2>0.5</formula2>
    </dataValidation>
    <dataValidation type="list" allowBlank="1" showInputMessage="1" showErrorMessage="1" sqref="F30:F33" xr:uid="{00000000-0002-0000-0500-000004000000}">
      <formula1>ContractTerm</formula1>
    </dataValidation>
    <dataValidation type="list" allowBlank="1" showInputMessage="1" showErrorMessage="1" sqref="F64:F65 F70 F67:F68 F38:F45 F47:F60 C38:C45 C47:C60" xr:uid="{00000000-0002-0000-0500-000005000000}">
      <formula1>Fuels</formula1>
    </dataValidation>
    <dataValidation type="list" allowBlank="1" showInputMessage="1" showErrorMessage="1" sqref="C15" xr:uid="{00000000-0002-0000-0500-000008000000}">
      <formula1>Option</formula1>
    </dataValidation>
    <dataValidation type="list" allowBlank="1" showInputMessage="1" showErrorMessage="1" sqref="C14" xr:uid="{00000000-0002-0000-0500-000009000000}">
      <formula1>GeoLocation</formula1>
    </dataValidation>
    <dataValidation type="textLength" operator="lessThanOrEqual" allowBlank="1" showInputMessage="1" showErrorMessage="1" sqref="J38:J45 J47:J60" xr:uid="{00000000-0002-0000-0500-00000A000000}">
      <formula1>350</formula1>
    </dataValidation>
    <dataValidation type="list" allowBlank="1" showInputMessage="1" showErrorMessage="1" sqref="H30:H32" xr:uid="{00000000-0002-0000-0500-00000B000000}">
      <formula1>BldgCapacity</formula1>
    </dataValidation>
    <dataValidation type="list" allowBlank="1" showInputMessage="1" showErrorMessage="1" sqref="C11" xr:uid="{00000000-0002-0000-0500-00000C000000}">
      <formula1>$O$105:$O$107</formula1>
    </dataValidation>
  </dataValidations>
  <pageMargins left="0.7" right="0.7" top="0.75" bottom="0.75" header="0.3" footer="0.3"/>
  <pageSetup paperSize="254" orientation="portrait" r:id="rId3"/>
  <drawing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21"/>
  <sheetViews>
    <sheetView workbookViewId="0"/>
  </sheetViews>
  <sheetFormatPr defaultRowHeight="12.5" x14ac:dyDescent="0.25"/>
  <cols>
    <col min="1" max="1" width="3.08984375" customWidth="1"/>
    <col min="2" max="2" width="28.453125" customWidth="1"/>
    <col min="3" max="3" width="13.453125" customWidth="1"/>
    <col min="4" max="4" width="13.90625" customWidth="1"/>
    <col min="5" max="5" width="31.08984375" customWidth="1"/>
    <col min="6" max="6" width="26.453125" customWidth="1"/>
    <col min="7" max="7" width="13.90625" customWidth="1"/>
    <col min="17" max="20" width="0" hidden="1" customWidth="1"/>
  </cols>
  <sheetData>
    <row r="1" spans="1:20" s="21" customFormat="1" ht="14" x14ac:dyDescent="0.3">
      <c r="D1" s="22"/>
      <c r="Q1" s="21" t="s">
        <v>196</v>
      </c>
      <c r="R1" s="21" t="s">
        <v>196</v>
      </c>
      <c r="S1" s="21" t="s">
        <v>196</v>
      </c>
      <c r="T1" s="21" t="s">
        <v>196</v>
      </c>
    </row>
    <row r="2" spans="1:20" s="21" customFormat="1" ht="103.5" customHeight="1" x14ac:dyDescent="0.5">
      <c r="B2" s="23"/>
      <c r="D2" s="22"/>
    </row>
    <row r="3" spans="1:20" s="21" customFormat="1" ht="72.75" customHeight="1" x14ac:dyDescent="0.5">
      <c r="B3" s="23"/>
      <c r="D3" s="22"/>
    </row>
    <row r="4" spans="1:20" s="21" customFormat="1" ht="9.75" customHeight="1" x14ac:dyDescent="0.5">
      <c r="B4" s="23"/>
      <c r="D4" s="22"/>
    </row>
    <row r="5" spans="1:20" s="21" customFormat="1" ht="14" x14ac:dyDescent="0.3">
      <c r="B5" s="119" t="s">
        <v>198</v>
      </c>
      <c r="C5" s="24"/>
      <c r="D5" s="22"/>
    </row>
    <row r="7" spans="1:20" ht="25" x14ac:dyDescent="0.25">
      <c r="B7" s="35" t="s">
        <v>195</v>
      </c>
    </row>
    <row r="9" spans="1:20" ht="18" customHeight="1" x14ac:dyDescent="0.3">
      <c r="A9" s="183">
        <v>1</v>
      </c>
      <c r="B9" s="183" t="s">
        <v>193</v>
      </c>
      <c r="C9" s="183"/>
      <c r="D9" s="183"/>
      <c r="E9" s="183"/>
      <c r="F9" s="183"/>
      <c r="G9" s="183"/>
      <c r="H9" s="183"/>
      <c r="I9" s="183"/>
      <c r="J9" s="183"/>
      <c r="K9" s="183"/>
      <c r="L9" s="184"/>
    </row>
    <row r="10" spans="1:20" ht="18" customHeight="1" x14ac:dyDescent="0.3">
      <c r="A10" s="183">
        <v>2</v>
      </c>
      <c r="B10" s="183" t="s">
        <v>194</v>
      </c>
      <c r="C10" s="183"/>
      <c r="D10" s="183"/>
      <c r="E10" s="183"/>
      <c r="F10" s="183"/>
      <c r="G10" s="183"/>
      <c r="H10" s="183"/>
      <c r="I10" s="183"/>
      <c r="J10" s="183"/>
      <c r="K10" s="183"/>
      <c r="L10" s="184"/>
    </row>
    <row r="12" spans="1:20" ht="13" x14ac:dyDescent="0.3">
      <c r="C12" s="243" t="s">
        <v>174</v>
      </c>
      <c r="D12" s="242" t="s">
        <v>173</v>
      </c>
      <c r="E12" s="242"/>
      <c r="F12" s="242"/>
      <c r="Q12" t="s">
        <v>439</v>
      </c>
    </row>
    <row r="13" spans="1:20" ht="37.5" x14ac:dyDescent="0.25">
      <c r="C13" s="244"/>
      <c r="D13" s="78" t="s">
        <v>36</v>
      </c>
      <c r="E13" s="78" t="s">
        <v>37</v>
      </c>
      <c r="F13" s="78" t="s">
        <v>39</v>
      </c>
      <c r="Q13" s="17" t="s">
        <v>440</v>
      </c>
      <c r="R13" t="s">
        <v>441</v>
      </c>
      <c r="S13" s="186" t="s">
        <v>347</v>
      </c>
      <c r="T13" s="186"/>
    </row>
    <row r="14" spans="1:20" ht="18" customHeight="1" x14ac:dyDescent="0.25">
      <c r="B14" s="4" t="s">
        <v>283</v>
      </c>
      <c r="C14" s="74">
        <v>1</v>
      </c>
      <c r="D14" s="34">
        <f>'16A Prescriptive Commercial'!D52</f>
        <v>10</v>
      </c>
      <c r="E14" s="34" t="str">
        <f>'16A Prescriptive Commercial'!D51</f>
        <v>Complete Conditional Requirements</v>
      </c>
      <c r="F14" s="34" t="str">
        <f>IFERROR((C14/$C$18*D14)*(E14/D14),"ERROR")</f>
        <v>ERROR</v>
      </c>
      <c r="Q14">
        <f>'16A Prescriptive Commercial'!H50</f>
        <v>0</v>
      </c>
      <c r="R14" t="str">
        <f>IFERROR((C14/$C$18*E14)*(Q14/E14),"ERROR")</f>
        <v>ERROR</v>
      </c>
      <c r="S14" s="187" t="s">
        <v>348</v>
      </c>
      <c r="T14" s="188">
        <f>IF(AND($F$20=S14, $R$18&gt;0), 1,0)</f>
        <v>0</v>
      </c>
    </row>
    <row r="15" spans="1:20" ht="18" customHeight="1" x14ac:dyDescent="0.25">
      <c r="B15" s="4" t="s">
        <v>281</v>
      </c>
      <c r="C15" s="74">
        <v>1</v>
      </c>
      <c r="D15" s="34">
        <f>'16B Prescriptive Residential'!D45</f>
        <v>10</v>
      </c>
      <c r="E15" s="34" t="str">
        <f>'16B Prescriptive Residential'!D44</f>
        <v>Complete Conditional Requirements</v>
      </c>
      <c r="F15" s="34" t="str">
        <f t="shared" ref="F15:F17" si="0">IFERROR((C15/$C$18*D15)*(E15/D15),"ERROR")</f>
        <v>ERROR</v>
      </c>
      <c r="Q15">
        <f>'16B Prescriptive Residential'!H44</f>
        <v>0</v>
      </c>
      <c r="R15" t="str">
        <f>IFERROR((C15/$C$18*E15)*(Q15/E15),"ERROR")</f>
        <v>ERROR</v>
      </c>
      <c r="S15" s="189" t="s">
        <v>349</v>
      </c>
      <c r="T15" s="188">
        <f t="shared" ref="T15" si="1">IF(AND($F$20=S15, $R$18&gt;0), 1,0)</f>
        <v>0</v>
      </c>
    </row>
    <row r="16" spans="1:20" ht="18" customHeight="1" x14ac:dyDescent="0.25">
      <c r="B16" s="4" t="s">
        <v>280</v>
      </c>
      <c r="C16" s="74">
        <v>1</v>
      </c>
      <c r="D16" s="34">
        <f>'16C NABERS Energy'!D44</f>
        <v>20</v>
      </c>
      <c r="E16" s="34">
        <f>'16C NABERS Energy'!D43</f>
        <v>0</v>
      </c>
      <c r="F16" s="34">
        <f t="shared" si="0"/>
        <v>0</v>
      </c>
      <c r="Q16" s="190">
        <f>'16C NABERS Energy'!F36</f>
        <v>0</v>
      </c>
      <c r="R16" t="str">
        <f>IFERROR((C16/$C$18*E16)*(Q16/E16),"ERROR")</f>
        <v>ERROR</v>
      </c>
      <c r="S16" s="189" t="s">
        <v>350</v>
      </c>
      <c r="T16" s="188">
        <f>IF(AND($F$20=S16, $R$18&gt;0), 1,0)</f>
        <v>0</v>
      </c>
    </row>
    <row r="17" spans="2:20" ht="18" customHeight="1" x14ac:dyDescent="0.25">
      <c r="B17" s="4" t="s">
        <v>282</v>
      </c>
      <c r="C17" s="74">
        <v>1</v>
      </c>
      <c r="D17" s="34">
        <f>'16B Reference Fitout'!C107</f>
        <v>20</v>
      </c>
      <c r="E17" s="34">
        <f>'16B Reference Fitout'!C106</f>
        <v>0</v>
      </c>
      <c r="F17" s="34">
        <f t="shared" si="0"/>
        <v>0</v>
      </c>
      <c r="Q17" s="190" t="str">
        <f>'16B Reference Fitout'!C96</f>
        <v/>
      </c>
      <c r="R17" t="str">
        <f>IFERROR((C17/$C$18*E17)*(Q17/E17),"ERROR")</f>
        <v>ERROR</v>
      </c>
      <c r="S17" s="191"/>
      <c r="T17" s="192" t="e">
        <f>VLOOKUP(F20,S14:T16, 2,FALSE)</f>
        <v>#N/A</v>
      </c>
    </row>
    <row r="18" spans="2:20" ht="18" customHeight="1" thickBot="1" x14ac:dyDescent="0.3">
      <c r="B18" s="44" t="s">
        <v>38</v>
      </c>
      <c r="C18" s="40">
        <f>SUM(C14:C17)</f>
        <v>4</v>
      </c>
      <c r="D18" s="40"/>
      <c r="E18" s="40"/>
      <c r="F18" s="66">
        <f>SUM(F14:F17)</f>
        <v>0</v>
      </c>
      <c r="Q18" s="193"/>
      <c r="R18">
        <f>SUM(R14:R17)</f>
        <v>0</v>
      </c>
    </row>
    <row r="19" spans="2:20" ht="13" thickTop="1" x14ac:dyDescent="0.25"/>
    <row r="20" spans="2:20" x14ac:dyDescent="0.25">
      <c r="B20" s="185" t="s">
        <v>338</v>
      </c>
      <c r="F20" s="184"/>
    </row>
    <row r="21" spans="2:20" x14ac:dyDescent="0.25">
      <c r="B21" s="182" t="s">
        <v>344</v>
      </c>
      <c r="F21" t="e">
        <f>IF(T17=1, "Conditional Requirement Met", "Conditional Requirement not met")</f>
        <v>#N/A</v>
      </c>
    </row>
  </sheetData>
  <customSheetViews>
    <customSheetView guid="{E57EC305-7DFD-421A-BB34-3221A8A7CE7D}" hiddenColumns="1" state="hidden">
      <pageMargins left="0.7" right="0.7" top="0.75" bottom="0.75" header="0.3" footer="0.3"/>
      <pageSetup paperSize="254" orientation="portrait" r:id="rId1"/>
    </customSheetView>
    <customSheetView guid="{63FDFA20-8B8F-4388-AE98-CEF9EC3DA1CE}" showGridLines="0">
      <selection activeCell="N32" sqref="N32"/>
      <pageMargins left="0.7" right="0.7" top="0.75" bottom="0.75" header="0.3" footer="0.3"/>
      <pageSetup paperSize="254" orientation="portrait" r:id="rId2"/>
    </customSheetView>
  </customSheetViews>
  <mergeCells count="2">
    <mergeCell ref="D12:F12"/>
    <mergeCell ref="C12:C13"/>
  </mergeCells>
  <dataValidations count="1">
    <dataValidation type="list" allowBlank="1" showInputMessage="1" showErrorMessage="1" sqref="F20" xr:uid="{00000000-0002-0000-0600-000000000000}">
      <formula1>$S$14:$S$16</formula1>
    </dataValidation>
  </dataValidations>
  <pageMargins left="0.7" right="0.7" top="0.75" bottom="0.75" header="0.3" footer="0.3"/>
  <pageSetup paperSize="254"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F53"/>
  <sheetViews>
    <sheetView workbookViewId="0"/>
  </sheetViews>
  <sheetFormatPr defaultRowHeight="12.5" x14ac:dyDescent="0.25"/>
  <cols>
    <col min="1" max="1" width="1.453125" customWidth="1"/>
    <col min="2" max="2" width="26.453125" customWidth="1"/>
    <col min="3" max="3" width="55.90625" bestFit="1" customWidth="1"/>
    <col min="4" max="4" width="12.6328125" bestFit="1" customWidth="1"/>
    <col min="5" max="5" width="17.54296875" bestFit="1" customWidth="1"/>
    <col min="6" max="6" width="18.6328125" bestFit="1" customWidth="1"/>
  </cols>
  <sheetData>
    <row r="1" spans="2:6" ht="7.5" customHeight="1" x14ac:dyDescent="0.25"/>
    <row r="2" spans="2:6" ht="13" x14ac:dyDescent="0.3">
      <c r="B2" s="245" t="s">
        <v>104</v>
      </c>
      <c r="C2" s="245" t="s">
        <v>105</v>
      </c>
      <c r="D2" s="6" t="s">
        <v>114</v>
      </c>
      <c r="E2" s="6" t="s">
        <v>106</v>
      </c>
      <c r="F2" s="6" t="s">
        <v>107</v>
      </c>
    </row>
    <row r="3" spans="2:6" ht="15" x14ac:dyDescent="0.4">
      <c r="B3" s="246"/>
      <c r="C3" s="246"/>
      <c r="D3" s="10" t="s">
        <v>34</v>
      </c>
      <c r="E3" s="10" t="s">
        <v>115</v>
      </c>
      <c r="F3" s="10" t="s">
        <v>116</v>
      </c>
    </row>
    <row r="4" spans="2:6" x14ac:dyDescent="0.25">
      <c r="B4" s="11"/>
      <c r="C4" s="5"/>
      <c r="D4" s="5"/>
      <c r="E4" s="2">
        <f t="shared" ref="E4:E35" si="0">IFERROR(VLOOKUP(C4,SynthGHGRate,2,FALSE),0)</f>
        <v>0</v>
      </c>
      <c r="F4" s="2">
        <f>IFERROR(E4*D4,0)</f>
        <v>0</v>
      </c>
    </row>
    <row r="5" spans="2:6" x14ac:dyDescent="0.25">
      <c r="B5" s="11"/>
      <c r="C5" s="5"/>
      <c r="D5" s="5"/>
      <c r="E5" s="2">
        <f t="shared" si="0"/>
        <v>0</v>
      </c>
      <c r="F5" s="2">
        <f t="shared" ref="F5:F52" si="1">IFERROR(E5*D5,0)</f>
        <v>0</v>
      </c>
    </row>
    <row r="6" spans="2:6" x14ac:dyDescent="0.25">
      <c r="B6" s="11"/>
      <c r="C6" s="5"/>
      <c r="D6" s="5"/>
      <c r="E6" s="2">
        <f t="shared" si="0"/>
        <v>0</v>
      </c>
      <c r="F6" s="2">
        <f t="shared" si="1"/>
        <v>0</v>
      </c>
    </row>
    <row r="7" spans="2:6" x14ac:dyDescent="0.25">
      <c r="B7" s="11"/>
      <c r="C7" s="5"/>
      <c r="D7" s="5"/>
      <c r="E7" s="2">
        <f t="shared" si="0"/>
        <v>0</v>
      </c>
      <c r="F7" s="2">
        <f t="shared" si="1"/>
        <v>0</v>
      </c>
    </row>
    <row r="8" spans="2:6" x14ac:dyDescent="0.25">
      <c r="B8" s="11"/>
      <c r="C8" s="5"/>
      <c r="D8" s="5"/>
      <c r="E8" s="2">
        <f t="shared" si="0"/>
        <v>0</v>
      </c>
      <c r="F8" s="2">
        <f t="shared" si="1"/>
        <v>0</v>
      </c>
    </row>
    <row r="9" spans="2:6" x14ac:dyDescent="0.25">
      <c r="B9" s="11"/>
      <c r="C9" s="5"/>
      <c r="D9" s="5"/>
      <c r="E9" s="2">
        <f t="shared" si="0"/>
        <v>0</v>
      </c>
      <c r="F9" s="2">
        <f t="shared" si="1"/>
        <v>0</v>
      </c>
    </row>
    <row r="10" spans="2:6" x14ac:dyDescent="0.25">
      <c r="B10" s="11"/>
      <c r="C10" s="5"/>
      <c r="D10" s="5"/>
      <c r="E10" s="2">
        <f t="shared" si="0"/>
        <v>0</v>
      </c>
      <c r="F10" s="2">
        <f t="shared" si="1"/>
        <v>0</v>
      </c>
    </row>
    <row r="11" spans="2:6" x14ac:dyDescent="0.25">
      <c r="B11" s="11"/>
      <c r="C11" s="5"/>
      <c r="D11" s="5"/>
      <c r="E11" s="2">
        <f t="shared" si="0"/>
        <v>0</v>
      </c>
      <c r="F11" s="2">
        <f t="shared" si="1"/>
        <v>0</v>
      </c>
    </row>
    <row r="12" spans="2:6" x14ac:dyDescent="0.25">
      <c r="B12" s="11"/>
      <c r="C12" s="5"/>
      <c r="D12" s="5"/>
      <c r="E12" s="2">
        <f t="shared" si="0"/>
        <v>0</v>
      </c>
      <c r="F12" s="2">
        <f t="shared" si="1"/>
        <v>0</v>
      </c>
    </row>
    <row r="13" spans="2:6" x14ac:dyDescent="0.25">
      <c r="B13" s="11"/>
      <c r="C13" s="5"/>
      <c r="D13" s="5"/>
      <c r="E13" s="2">
        <f t="shared" si="0"/>
        <v>0</v>
      </c>
      <c r="F13" s="2">
        <f t="shared" si="1"/>
        <v>0</v>
      </c>
    </row>
    <row r="14" spans="2:6" x14ac:dyDescent="0.25">
      <c r="B14" s="11"/>
      <c r="C14" s="5"/>
      <c r="D14" s="5"/>
      <c r="E14" s="2">
        <f t="shared" si="0"/>
        <v>0</v>
      </c>
      <c r="F14" s="2">
        <f t="shared" si="1"/>
        <v>0</v>
      </c>
    </row>
    <row r="15" spans="2:6" x14ac:dyDescent="0.25">
      <c r="B15" s="11"/>
      <c r="C15" s="5"/>
      <c r="D15" s="5"/>
      <c r="E15" s="2">
        <f t="shared" si="0"/>
        <v>0</v>
      </c>
      <c r="F15" s="2">
        <f t="shared" si="1"/>
        <v>0</v>
      </c>
    </row>
    <row r="16" spans="2:6" x14ac:dyDescent="0.25">
      <c r="B16" s="11"/>
      <c r="C16" s="5"/>
      <c r="D16" s="5"/>
      <c r="E16" s="2">
        <f t="shared" si="0"/>
        <v>0</v>
      </c>
      <c r="F16" s="2">
        <f t="shared" si="1"/>
        <v>0</v>
      </c>
    </row>
    <row r="17" spans="2:6" x14ac:dyDescent="0.25">
      <c r="B17" s="11"/>
      <c r="C17" s="5"/>
      <c r="D17" s="5"/>
      <c r="E17" s="2">
        <f t="shared" si="0"/>
        <v>0</v>
      </c>
      <c r="F17" s="2">
        <f t="shared" si="1"/>
        <v>0</v>
      </c>
    </row>
    <row r="18" spans="2:6" x14ac:dyDescent="0.25">
      <c r="B18" s="11"/>
      <c r="C18" s="5"/>
      <c r="D18" s="5"/>
      <c r="E18" s="2">
        <f t="shared" si="0"/>
        <v>0</v>
      </c>
      <c r="F18" s="2">
        <f t="shared" si="1"/>
        <v>0</v>
      </c>
    </row>
    <row r="19" spans="2:6" x14ac:dyDescent="0.25">
      <c r="B19" s="11"/>
      <c r="C19" s="5"/>
      <c r="D19" s="5"/>
      <c r="E19" s="2">
        <f t="shared" si="0"/>
        <v>0</v>
      </c>
      <c r="F19" s="2">
        <f t="shared" si="1"/>
        <v>0</v>
      </c>
    </row>
    <row r="20" spans="2:6" x14ac:dyDescent="0.25">
      <c r="B20" s="11"/>
      <c r="C20" s="5"/>
      <c r="D20" s="5"/>
      <c r="E20" s="2">
        <f t="shared" si="0"/>
        <v>0</v>
      </c>
      <c r="F20" s="2">
        <f t="shared" si="1"/>
        <v>0</v>
      </c>
    </row>
    <row r="21" spans="2:6" x14ac:dyDescent="0.25">
      <c r="B21" s="11"/>
      <c r="C21" s="5"/>
      <c r="D21" s="5"/>
      <c r="E21" s="2">
        <f t="shared" si="0"/>
        <v>0</v>
      </c>
      <c r="F21" s="2">
        <f t="shared" si="1"/>
        <v>0</v>
      </c>
    </row>
    <row r="22" spans="2:6" x14ac:dyDescent="0.25">
      <c r="B22" s="11"/>
      <c r="C22" s="5"/>
      <c r="D22" s="5"/>
      <c r="E22" s="2">
        <f t="shared" si="0"/>
        <v>0</v>
      </c>
      <c r="F22" s="2">
        <f t="shared" si="1"/>
        <v>0</v>
      </c>
    </row>
    <row r="23" spans="2:6" x14ac:dyDescent="0.25">
      <c r="B23" s="11"/>
      <c r="C23" s="5"/>
      <c r="D23" s="5"/>
      <c r="E23" s="2">
        <f t="shared" si="0"/>
        <v>0</v>
      </c>
      <c r="F23" s="2">
        <f t="shared" si="1"/>
        <v>0</v>
      </c>
    </row>
    <row r="24" spans="2:6" x14ac:dyDescent="0.25">
      <c r="B24" s="11"/>
      <c r="C24" s="5"/>
      <c r="D24" s="5"/>
      <c r="E24" s="2">
        <f t="shared" si="0"/>
        <v>0</v>
      </c>
      <c r="F24" s="2">
        <f t="shared" si="1"/>
        <v>0</v>
      </c>
    </row>
    <row r="25" spans="2:6" x14ac:dyDescent="0.25">
      <c r="B25" s="11"/>
      <c r="C25" s="5"/>
      <c r="D25" s="5"/>
      <c r="E25" s="2">
        <f t="shared" si="0"/>
        <v>0</v>
      </c>
      <c r="F25" s="2">
        <f t="shared" si="1"/>
        <v>0</v>
      </c>
    </row>
    <row r="26" spans="2:6" x14ac:dyDescent="0.25">
      <c r="B26" s="11"/>
      <c r="C26" s="5"/>
      <c r="D26" s="5"/>
      <c r="E26" s="2">
        <f t="shared" si="0"/>
        <v>0</v>
      </c>
      <c r="F26" s="2">
        <f t="shared" si="1"/>
        <v>0</v>
      </c>
    </row>
    <row r="27" spans="2:6" x14ac:dyDescent="0.25">
      <c r="B27" s="11"/>
      <c r="C27" s="5"/>
      <c r="D27" s="5"/>
      <c r="E27" s="2">
        <f t="shared" si="0"/>
        <v>0</v>
      </c>
      <c r="F27" s="2">
        <f t="shared" si="1"/>
        <v>0</v>
      </c>
    </row>
    <row r="28" spans="2:6" x14ac:dyDescent="0.25">
      <c r="B28" s="11"/>
      <c r="C28" s="5"/>
      <c r="D28" s="5"/>
      <c r="E28" s="2">
        <f t="shared" si="0"/>
        <v>0</v>
      </c>
      <c r="F28" s="2">
        <f t="shared" si="1"/>
        <v>0</v>
      </c>
    </row>
    <row r="29" spans="2:6" x14ac:dyDescent="0.25">
      <c r="B29" s="11"/>
      <c r="C29" s="5"/>
      <c r="D29" s="5"/>
      <c r="E29" s="2">
        <f t="shared" si="0"/>
        <v>0</v>
      </c>
      <c r="F29" s="2">
        <f t="shared" si="1"/>
        <v>0</v>
      </c>
    </row>
    <row r="30" spans="2:6" x14ac:dyDescent="0.25">
      <c r="B30" s="11"/>
      <c r="C30" s="5"/>
      <c r="D30" s="5"/>
      <c r="E30" s="2">
        <f t="shared" si="0"/>
        <v>0</v>
      </c>
      <c r="F30" s="2">
        <f t="shared" si="1"/>
        <v>0</v>
      </c>
    </row>
    <row r="31" spans="2:6" x14ac:dyDescent="0.25">
      <c r="B31" s="11"/>
      <c r="C31" s="5"/>
      <c r="D31" s="5"/>
      <c r="E31" s="2">
        <f t="shared" si="0"/>
        <v>0</v>
      </c>
      <c r="F31" s="2">
        <f t="shared" si="1"/>
        <v>0</v>
      </c>
    </row>
    <row r="32" spans="2:6" x14ac:dyDescent="0.25">
      <c r="B32" s="11"/>
      <c r="C32" s="5"/>
      <c r="D32" s="5"/>
      <c r="E32" s="2">
        <f t="shared" si="0"/>
        <v>0</v>
      </c>
      <c r="F32" s="2">
        <f t="shared" si="1"/>
        <v>0</v>
      </c>
    </row>
    <row r="33" spans="2:6" x14ac:dyDescent="0.25">
      <c r="B33" s="11"/>
      <c r="C33" s="5"/>
      <c r="D33" s="5"/>
      <c r="E33" s="2">
        <f t="shared" si="0"/>
        <v>0</v>
      </c>
      <c r="F33" s="2">
        <f t="shared" si="1"/>
        <v>0</v>
      </c>
    </row>
    <row r="34" spans="2:6" x14ac:dyDescent="0.25">
      <c r="B34" s="11"/>
      <c r="C34" s="5"/>
      <c r="D34" s="5"/>
      <c r="E34" s="2">
        <f t="shared" si="0"/>
        <v>0</v>
      </c>
      <c r="F34" s="2">
        <f t="shared" si="1"/>
        <v>0</v>
      </c>
    </row>
    <row r="35" spans="2:6" x14ac:dyDescent="0.25">
      <c r="B35" s="11"/>
      <c r="C35" s="5"/>
      <c r="D35" s="5"/>
      <c r="E35" s="2">
        <f t="shared" si="0"/>
        <v>0</v>
      </c>
      <c r="F35" s="2">
        <f t="shared" si="1"/>
        <v>0</v>
      </c>
    </row>
    <row r="36" spans="2:6" x14ac:dyDescent="0.25">
      <c r="B36" s="11"/>
      <c r="C36" s="5"/>
      <c r="D36" s="5"/>
      <c r="E36" s="2">
        <f t="shared" ref="E36:E52" si="2">IFERROR(VLOOKUP(C36,SynthGHGRate,2,FALSE),0)</f>
        <v>0</v>
      </c>
      <c r="F36" s="2">
        <f t="shared" si="1"/>
        <v>0</v>
      </c>
    </row>
    <row r="37" spans="2:6" x14ac:dyDescent="0.25">
      <c r="B37" s="11"/>
      <c r="C37" s="5"/>
      <c r="D37" s="5"/>
      <c r="E37" s="2">
        <f t="shared" si="2"/>
        <v>0</v>
      </c>
      <c r="F37" s="2">
        <f t="shared" si="1"/>
        <v>0</v>
      </c>
    </row>
    <row r="38" spans="2:6" x14ac:dyDescent="0.25">
      <c r="B38" s="11"/>
      <c r="C38" s="5"/>
      <c r="D38" s="5"/>
      <c r="E38" s="2">
        <f t="shared" si="2"/>
        <v>0</v>
      </c>
      <c r="F38" s="2">
        <f t="shared" si="1"/>
        <v>0</v>
      </c>
    </row>
    <row r="39" spans="2:6" x14ac:dyDescent="0.25">
      <c r="B39" s="11"/>
      <c r="C39" s="5"/>
      <c r="D39" s="5"/>
      <c r="E39" s="2">
        <f t="shared" si="2"/>
        <v>0</v>
      </c>
      <c r="F39" s="2">
        <f t="shared" si="1"/>
        <v>0</v>
      </c>
    </row>
    <row r="40" spans="2:6" x14ac:dyDescent="0.25">
      <c r="B40" s="11"/>
      <c r="C40" s="5"/>
      <c r="D40" s="5"/>
      <c r="E40" s="2">
        <f t="shared" si="2"/>
        <v>0</v>
      </c>
      <c r="F40" s="2">
        <f t="shared" si="1"/>
        <v>0</v>
      </c>
    </row>
    <row r="41" spans="2:6" x14ac:dyDescent="0.25">
      <c r="B41" s="11"/>
      <c r="C41" s="5"/>
      <c r="D41" s="5"/>
      <c r="E41" s="2">
        <f t="shared" si="2"/>
        <v>0</v>
      </c>
      <c r="F41" s="2">
        <f t="shared" si="1"/>
        <v>0</v>
      </c>
    </row>
    <row r="42" spans="2:6" x14ac:dyDescent="0.25">
      <c r="B42" s="11"/>
      <c r="C42" s="5"/>
      <c r="D42" s="5"/>
      <c r="E42" s="2">
        <f t="shared" si="2"/>
        <v>0</v>
      </c>
      <c r="F42" s="2">
        <f t="shared" si="1"/>
        <v>0</v>
      </c>
    </row>
    <row r="43" spans="2:6" x14ac:dyDescent="0.25">
      <c r="B43" s="11"/>
      <c r="C43" s="5"/>
      <c r="D43" s="5"/>
      <c r="E43" s="2">
        <f t="shared" si="2"/>
        <v>0</v>
      </c>
      <c r="F43" s="2">
        <f t="shared" si="1"/>
        <v>0</v>
      </c>
    </row>
    <row r="44" spans="2:6" x14ac:dyDescent="0.25">
      <c r="B44" s="11"/>
      <c r="C44" s="5"/>
      <c r="D44" s="5"/>
      <c r="E44" s="2">
        <f t="shared" si="2"/>
        <v>0</v>
      </c>
      <c r="F44" s="2">
        <f t="shared" si="1"/>
        <v>0</v>
      </c>
    </row>
    <row r="45" spans="2:6" x14ac:dyDescent="0.25">
      <c r="B45" s="11"/>
      <c r="C45" s="5"/>
      <c r="D45" s="5"/>
      <c r="E45" s="2">
        <f t="shared" si="2"/>
        <v>0</v>
      </c>
      <c r="F45" s="2">
        <f t="shared" si="1"/>
        <v>0</v>
      </c>
    </row>
    <row r="46" spans="2:6" x14ac:dyDescent="0.25">
      <c r="B46" s="11"/>
      <c r="C46" s="5"/>
      <c r="D46" s="5"/>
      <c r="E46" s="2">
        <f t="shared" si="2"/>
        <v>0</v>
      </c>
      <c r="F46" s="2">
        <f t="shared" si="1"/>
        <v>0</v>
      </c>
    </row>
    <row r="47" spans="2:6" x14ac:dyDescent="0.25">
      <c r="B47" s="11"/>
      <c r="C47" s="5"/>
      <c r="D47" s="5"/>
      <c r="E47" s="2">
        <f t="shared" si="2"/>
        <v>0</v>
      </c>
      <c r="F47" s="2">
        <f t="shared" si="1"/>
        <v>0</v>
      </c>
    </row>
    <row r="48" spans="2:6" x14ac:dyDescent="0.25">
      <c r="B48" s="11"/>
      <c r="C48" s="5"/>
      <c r="D48" s="5"/>
      <c r="E48" s="2">
        <f t="shared" si="2"/>
        <v>0</v>
      </c>
      <c r="F48" s="2">
        <f t="shared" si="1"/>
        <v>0</v>
      </c>
    </row>
    <row r="49" spans="2:6" x14ac:dyDescent="0.25">
      <c r="B49" s="11"/>
      <c r="C49" s="5"/>
      <c r="D49" s="5"/>
      <c r="E49" s="2">
        <f t="shared" si="2"/>
        <v>0</v>
      </c>
      <c r="F49" s="2">
        <f t="shared" si="1"/>
        <v>0</v>
      </c>
    </row>
    <row r="50" spans="2:6" x14ac:dyDescent="0.25">
      <c r="B50" s="11"/>
      <c r="C50" s="5"/>
      <c r="D50" s="5"/>
      <c r="E50" s="2">
        <f t="shared" si="2"/>
        <v>0</v>
      </c>
      <c r="F50" s="2">
        <f t="shared" si="1"/>
        <v>0</v>
      </c>
    </row>
    <row r="51" spans="2:6" x14ac:dyDescent="0.25">
      <c r="B51" s="11"/>
      <c r="C51" s="5"/>
      <c r="D51" s="5"/>
      <c r="E51" s="2">
        <f t="shared" si="2"/>
        <v>0</v>
      </c>
      <c r="F51" s="2">
        <f t="shared" si="1"/>
        <v>0</v>
      </c>
    </row>
    <row r="52" spans="2:6" x14ac:dyDescent="0.25">
      <c r="B52" s="11"/>
      <c r="C52" s="5"/>
      <c r="D52" s="5"/>
      <c r="E52" s="2">
        <f t="shared" si="2"/>
        <v>0</v>
      </c>
      <c r="F52" s="2">
        <f t="shared" si="1"/>
        <v>0</v>
      </c>
    </row>
    <row r="53" spans="2:6" ht="13" x14ac:dyDescent="0.3">
      <c r="F53" s="12">
        <f>SUM(F4:F52)</f>
        <v>0</v>
      </c>
    </row>
  </sheetData>
  <customSheetViews>
    <customSheetView guid="{E57EC305-7DFD-421A-BB34-3221A8A7CE7D}" state="hidden">
      <pageMargins left="0.7" right="0.7" top="0.75" bottom="0.75" header="0.3" footer="0.3"/>
    </customSheetView>
    <customSheetView guid="{63FDFA20-8B8F-4388-AE98-CEF9EC3DA1CE}" state="hidden">
      <selection activeCell="B4" sqref="B4"/>
      <pageMargins left="0.7" right="0.7" top="0.75" bottom="0.75" header="0.3" footer="0.3"/>
    </customSheetView>
  </customSheetViews>
  <mergeCells count="2">
    <mergeCell ref="B2:B3"/>
    <mergeCell ref="C2:C3"/>
  </mergeCells>
  <dataValidations count="1">
    <dataValidation type="list" allowBlank="1" showInputMessage="1" showErrorMessage="1" sqref="C4:C52" xr:uid="{00000000-0002-0000-0700-000000000000}">
      <formula1>SynthGHGSource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AF72"/>
  <sheetViews>
    <sheetView workbookViewId="0">
      <selection activeCell="P33" sqref="P33"/>
    </sheetView>
  </sheetViews>
  <sheetFormatPr defaultRowHeight="12.5" x14ac:dyDescent="0.25"/>
  <cols>
    <col min="1" max="1" width="1.453125" customWidth="1"/>
    <col min="2" max="2" width="7.54296875" customWidth="1"/>
    <col min="3" max="3" width="15.453125" customWidth="1"/>
    <col min="4" max="23" width="5.36328125" customWidth="1"/>
    <col min="31" max="31" width="55.90625" bestFit="1" customWidth="1"/>
    <col min="32" max="32" width="11.6328125" bestFit="1" customWidth="1"/>
  </cols>
  <sheetData>
    <row r="1" spans="2:32" ht="7.5" customHeight="1" x14ac:dyDescent="0.25"/>
    <row r="2" spans="2:32" x14ac:dyDescent="0.25">
      <c r="B2" s="248" t="s">
        <v>0</v>
      </c>
      <c r="C2" s="247" t="s">
        <v>4</v>
      </c>
      <c r="D2" s="247" t="s">
        <v>5</v>
      </c>
      <c r="E2" s="247"/>
      <c r="F2" s="247"/>
      <c r="G2" s="247"/>
      <c r="H2" s="247"/>
      <c r="I2" s="247"/>
      <c r="J2" s="247"/>
      <c r="K2" s="247"/>
      <c r="L2" s="247"/>
      <c r="M2" s="247"/>
      <c r="N2" s="247"/>
      <c r="O2" s="247"/>
      <c r="P2" s="247"/>
      <c r="Q2" s="247"/>
      <c r="R2" s="247"/>
      <c r="S2" s="247"/>
      <c r="T2" s="247"/>
      <c r="U2" s="247"/>
      <c r="V2" s="247"/>
      <c r="W2" s="247"/>
      <c r="AC2" t="s">
        <v>99</v>
      </c>
      <c r="AD2" t="s">
        <v>100</v>
      </c>
      <c r="AE2" t="s">
        <v>112</v>
      </c>
      <c r="AF2" t="s">
        <v>113</v>
      </c>
    </row>
    <row r="3" spans="2:32" x14ac:dyDescent="0.25">
      <c r="B3" s="248"/>
      <c r="C3" s="247"/>
      <c r="D3" s="1">
        <v>0.5</v>
      </c>
      <c r="E3" s="1">
        <v>1</v>
      </c>
      <c r="F3" s="1">
        <v>1.5</v>
      </c>
      <c r="G3" s="1">
        <v>2</v>
      </c>
      <c r="H3" s="1">
        <v>2.5</v>
      </c>
      <c r="I3" s="1">
        <v>3</v>
      </c>
      <c r="J3" s="1">
        <v>3.5</v>
      </c>
      <c r="K3" s="1">
        <v>4</v>
      </c>
      <c r="L3" s="1">
        <v>4.5</v>
      </c>
      <c r="M3" s="1">
        <v>5</v>
      </c>
      <c r="N3" s="1">
        <v>5.5</v>
      </c>
      <c r="O3" s="1">
        <v>6</v>
      </c>
      <c r="P3" s="1">
        <v>6.5</v>
      </c>
      <c r="Q3" s="1">
        <v>7</v>
      </c>
      <c r="R3" s="1">
        <v>7.5</v>
      </c>
      <c r="S3" s="1">
        <v>8</v>
      </c>
      <c r="T3" s="1">
        <v>8.5</v>
      </c>
      <c r="U3" s="1">
        <v>9</v>
      </c>
      <c r="V3" s="1">
        <v>9.5</v>
      </c>
      <c r="W3" s="1">
        <v>10</v>
      </c>
      <c r="X3" s="1">
        <v>0.5</v>
      </c>
      <c r="Y3">
        <v>0</v>
      </c>
      <c r="Z3" t="s">
        <v>42</v>
      </c>
      <c r="AB3" t="s">
        <v>91</v>
      </c>
      <c r="AC3">
        <v>1.05</v>
      </c>
      <c r="AD3">
        <f>64.13/1000</f>
        <v>6.4129999999999993E-2</v>
      </c>
      <c r="AE3" t="s">
        <v>108</v>
      </c>
      <c r="AF3">
        <v>0.09</v>
      </c>
    </row>
    <row r="4" spans="2:32" x14ac:dyDescent="0.25">
      <c r="B4" s="3">
        <v>1</v>
      </c>
      <c r="C4" t="s">
        <v>6</v>
      </c>
      <c r="D4">
        <v>853</v>
      </c>
      <c r="E4">
        <v>773</v>
      </c>
      <c r="F4">
        <v>706</v>
      </c>
      <c r="G4">
        <v>648</v>
      </c>
      <c r="H4">
        <v>598</v>
      </c>
      <c r="I4">
        <v>555</v>
      </c>
      <c r="J4">
        <v>516</v>
      </c>
      <c r="K4">
        <v>480</v>
      </c>
      <c r="L4">
        <v>446</v>
      </c>
      <c r="M4">
        <v>413</v>
      </c>
      <c r="N4">
        <v>381</v>
      </c>
      <c r="O4">
        <v>349</v>
      </c>
      <c r="P4">
        <v>317</v>
      </c>
      <c r="Q4">
        <v>285</v>
      </c>
      <c r="R4">
        <v>253</v>
      </c>
      <c r="S4">
        <v>222</v>
      </c>
      <c r="T4">
        <v>192</v>
      </c>
      <c r="U4">
        <v>164</v>
      </c>
      <c r="V4">
        <v>140</v>
      </c>
      <c r="W4">
        <v>119</v>
      </c>
      <c r="X4">
        <v>1</v>
      </c>
      <c r="Y4">
        <v>0.5</v>
      </c>
      <c r="Z4" t="s">
        <v>43</v>
      </c>
      <c r="AB4" t="s">
        <v>92</v>
      </c>
      <c r="AC4">
        <v>1.05</v>
      </c>
      <c r="AD4">
        <f>64.13/1000</f>
        <v>6.4129999999999993E-2</v>
      </c>
      <c r="AE4" t="s">
        <v>109</v>
      </c>
      <c r="AF4">
        <v>0.23</v>
      </c>
    </row>
    <row r="5" spans="2:32" x14ac:dyDescent="0.25">
      <c r="B5" s="3">
        <v>2</v>
      </c>
      <c r="C5" t="s">
        <v>7</v>
      </c>
      <c r="D5">
        <v>643</v>
      </c>
      <c r="E5">
        <v>569</v>
      </c>
      <c r="F5">
        <v>507</v>
      </c>
      <c r="G5">
        <v>455</v>
      </c>
      <c r="H5">
        <v>411</v>
      </c>
      <c r="I5">
        <v>373</v>
      </c>
      <c r="J5">
        <v>340</v>
      </c>
      <c r="K5">
        <v>310</v>
      </c>
      <c r="L5">
        <v>284</v>
      </c>
      <c r="M5">
        <v>260</v>
      </c>
      <c r="N5">
        <v>237</v>
      </c>
      <c r="O5">
        <v>215</v>
      </c>
      <c r="P5">
        <v>194</v>
      </c>
      <c r="Q5">
        <v>172</v>
      </c>
      <c r="R5">
        <v>151</v>
      </c>
      <c r="S5">
        <v>131</v>
      </c>
      <c r="T5">
        <v>111</v>
      </c>
      <c r="U5">
        <v>93</v>
      </c>
      <c r="V5">
        <v>76</v>
      </c>
      <c r="W5">
        <v>62</v>
      </c>
      <c r="X5" s="1">
        <v>1.5</v>
      </c>
      <c r="Y5">
        <v>1</v>
      </c>
      <c r="Z5" t="s">
        <v>103</v>
      </c>
      <c r="AB5" t="s">
        <v>93</v>
      </c>
      <c r="AC5">
        <v>0.77</v>
      </c>
      <c r="AD5">
        <f>51.33/1000</f>
        <v>5.1330000000000001E-2</v>
      </c>
      <c r="AE5" t="s">
        <v>110</v>
      </c>
      <c r="AF5">
        <v>0.16</v>
      </c>
    </row>
    <row r="6" spans="2:32" x14ac:dyDescent="0.25">
      <c r="B6" s="3">
        <v>3</v>
      </c>
      <c r="C6" t="s">
        <v>8</v>
      </c>
      <c r="D6">
        <v>654</v>
      </c>
      <c r="E6">
        <v>550</v>
      </c>
      <c r="F6">
        <v>465</v>
      </c>
      <c r="G6">
        <v>396</v>
      </c>
      <c r="H6">
        <v>340</v>
      </c>
      <c r="I6">
        <v>294</v>
      </c>
      <c r="J6">
        <v>257</v>
      </c>
      <c r="K6">
        <v>226</v>
      </c>
      <c r="L6">
        <v>200</v>
      </c>
      <c r="M6">
        <v>178</v>
      </c>
      <c r="N6">
        <v>159</v>
      </c>
      <c r="O6">
        <v>141</v>
      </c>
      <c r="P6">
        <v>124</v>
      </c>
      <c r="Q6">
        <v>107</v>
      </c>
      <c r="R6">
        <v>90</v>
      </c>
      <c r="S6">
        <v>74</v>
      </c>
      <c r="T6">
        <v>58</v>
      </c>
      <c r="U6">
        <v>43</v>
      </c>
      <c r="V6">
        <v>29</v>
      </c>
      <c r="W6">
        <v>18</v>
      </c>
      <c r="X6">
        <v>2</v>
      </c>
      <c r="Y6">
        <v>1.5</v>
      </c>
      <c r="Z6" t="s">
        <v>87</v>
      </c>
      <c r="AB6" t="s">
        <v>98</v>
      </c>
      <c r="AC6">
        <v>0.95</v>
      </c>
      <c r="AD6">
        <f>60.03/1000</f>
        <v>6.003E-2</v>
      </c>
      <c r="AE6" t="s">
        <v>111</v>
      </c>
      <c r="AF6">
        <v>8.8999999999999999E-3</v>
      </c>
    </row>
    <row r="7" spans="2:32" x14ac:dyDescent="0.25">
      <c r="B7" s="3">
        <v>4</v>
      </c>
      <c r="C7" t="s">
        <v>9</v>
      </c>
      <c r="D7">
        <v>209</v>
      </c>
      <c r="E7">
        <v>181</v>
      </c>
      <c r="F7">
        <v>157</v>
      </c>
      <c r="G7">
        <v>137</v>
      </c>
      <c r="H7">
        <v>120</v>
      </c>
      <c r="I7">
        <v>105</v>
      </c>
      <c r="J7">
        <v>93</v>
      </c>
      <c r="K7">
        <v>82</v>
      </c>
      <c r="L7">
        <v>73</v>
      </c>
      <c r="M7">
        <v>66</v>
      </c>
      <c r="N7">
        <v>59</v>
      </c>
      <c r="O7">
        <v>53</v>
      </c>
      <c r="P7">
        <v>47</v>
      </c>
      <c r="Q7">
        <v>41</v>
      </c>
      <c r="R7">
        <v>36</v>
      </c>
      <c r="S7">
        <v>31</v>
      </c>
      <c r="T7">
        <v>27</v>
      </c>
      <c r="U7">
        <v>22</v>
      </c>
      <c r="V7">
        <v>18</v>
      </c>
      <c r="W7">
        <v>14</v>
      </c>
      <c r="X7" s="1">
        <v>2.5</v>
      </c>
      <c r="Y7">
        <v>2</v>
      </c>
      <c r="Z7" t="s">
        <v>88</v>
      </c>
      <c r="AB7" t="s">
        <v>96</v>
      </c>
      <c r="AC7">
        <v>0.73</v>
      </c>
      <c r="AD7">
        <f>61.73/1000</f>
        <v>6.173E-2</v>
      </c>
    </row>
    <row r="8" spans="2:32" x14ac:dyDescent="0.25">
      <c r="B8" s="3">
        <v>5</v>
      </c>
      <c r="C8" t="s">
        <v>10</v>
      </c>
      <c r="D8">
        <v>337</v>
      </c>
      <c r="E8">
        <v>309</v>
      </c>
      <c r="F8">
        <v>283</v>
      </c>
      <c r="G8">
        <v>259</v>
      </c>
      <c r="H8">
        <v>238</v>
      </c>
      <c r="I8">
        <v>218</v>
      </c>
      <c r="J8">
        <v>200</v>
      </c>
      <c r="K8">
        <v>183</v>
      </c>
      <c r="L8">
        <v>168</v>
      </c>
      <c r="M8">
        <v>153</v>
      </c>
      <c r="N8">
        <v>140</v>
      </c>
      <c r="O8">
        <v>127</v>
      </c>
      <c r="P8">
        <v>114</v>
      </c>
      <c r="Q8">
        <v>103</v>
      </c>
      <c r="R8">
        <v>92</v>
      </c>
      <c r="S8">
        <v>81</v>
      </c>
      <c r="T8">
        <v>71</v>
      </c>
      <c r="U8">
        <v>61</v>
      </c>
      <c r="V8">
        <v>52</v>
      </c>
      <c r="W8">
        <v>44</v>
      </c>
      <c r="X8">
        <v>3</v>
      </c>
      <c r="Y8">
        <v>2.5</v>
      </c>
      <c r="Z8" t="s">
        <v>89</v>
      </c>
      <c r="AB8" t="s">
        <v>97</v>
      </c>
      <c r="AC8">
        <v>0.22</v>
      </c>
      <c r="AD8">
        <f>51.33/1000</f>
        <v>5.1330000000000001E-2</v>
      </c>
    </row>
    <row r="9" spans="2:32" x14ac:dyDescent="0.25">
      <c r="B9" s="3">
        <v>6</v>
      </c>
      <c r="C9" t="s">
        <v>11</v>
      </c>
      <c r="D9">
        <v>681</v>
      </c>
      <c r="E9">
        <v>562</v>
      </c>
      <c r="F9">
        <v>464</v>
      </c>
      <c r="G9">
        <v>385</v>
      </c>
      <c r="H9">
        <v>321</v>
      </c>
      <c r="I9">
        <v>269</v>
      </c>
      <c r="J9">
        <v>228</v>
      </c>
      <c r="K9">
        <v>196</v>
      </c>
      <c r="L9">
        <v>170</v>
      </c>
      <c r="M9">
        <v>148</v>
      </c>
      <c r="N9">
        <v>130</v>
      </c>
      <c r="O9">
        <v>113</v>
      </c>
      <c r="P9">
        <v>99</v>
      </c>
      <c r="Q9">
        <v>84</v>
      </c>
      <c r="R9">
        <v>70</v>
      </c>
      <c r="S9">
        <v>56</v>
      </c>
      <c r="T9">
        <v>43</v>
      </c>
      <c r="U9">
        <v>29</v>
      </c>
      <c r="V9">
        <v>17</v>
      </c>
      <c r="W9">
        <v>7</v>
      </c>
      <c r="X9" s="1">
        <v>3.5</v>
      </c>
      <c r="Y9">
        <v>3</v>
      </c>
      <c r="Z9" t="s">
        <v>62</v>
      </c>
      <c r="AB9" t="s">
        <v>95</v>
      </c>
      <c r="AC9">
        <v>1.32</v>
      </c>
      <c r="AD9">
        <f>55.23/1000</f>
        <v>5.5229999999999994E-2</v>
      </c>
    </row>
    <row r="10" spans="2:32" x14ac:dyDescent="0.25">
      <c r="B10" s="3">
        <v>7</v>
      </c>
      <c r="C10" t="s">
        <v>12</v>
      </c>
      <c r="D10">
        <v>344</v>
      </c>
      <c r="E10">
        <v>295</v>
      </c>
      <c r="F10">
        <v>255</v>
      </c>
      <c r="G10">
        <v>222</v>
      </c>
      <c r="H10">
        <v>194</v>
      </c>
      <c r="I10">
        <v>171</v>
      </c>
      <c r="J10">
        <v>152</v>
      </c>
      <c r="K10">
        <v>136</v>
      </c>
      <c r="L10">
        <v>122</v>
      </c>
      <c r="M10">
        <v>110</v>
      </c>
      <c r="N10">
        <v>99</v>
      </c>
      <c r="O10">
        <v>90</v>
      </c>
      <c r="P10">
        <v>80</v>
      </c>
      <c r="Q10">
        <v>71</v>
      </c>
      <c r="R10">
        <v>63</v>
      </c>
      <c r="S10">
        <v>54</v>
      </c>
      <c r="T10">
        <v>46</v>
      </c>
      <c r="U10">
        <v>38</v>
      </c>
      <c r="V10">
        <v>31</v>
      </c>
      <c r="W10">
        <v>24</v>
      </c>
      <c r="X10">
        <v>4</v>
      </c>
      <c r="Y10">
        <v>3.5</v>
      </c>
      <c r="Z10" t="s">
        <v>178</v>
      </c>
      <c r="AB10" t="s">
        <v>94</v>
      </c>
      <c r="AC10">
        <v>0.84</v>
      </c>
      <c r="AD10">
        <f>55.33/1000</f>
        <v>5.5329999999999997E-2</v>
      </c>
    </row>
    <row r="11" spans="2:32" x14ac:dyDescent="0.25">
      <c r="B11" s="3">
        <v>8</v>
      </c>
      <c r="C11" t="s">
        <v>13</v>
      </c>
      <c r="D11">
        <v>597</v>
      </c>
      <c r="E11">
        <v>481</v>
      </c>
      <c r="F11">
        <v>388</v>
      </c>
      <c r="G11">
        <v>315</v>
      </c>
      <c r="H11">
        <v>258</v>
      </c>
      <c r="I11">
        <v>214</v>
      </c>
      <c r="J11">
        <v>180</v>
      </c>
      <c r="K11">
        <v>155</v>
      </c>
      <c r="L11">
        <v>135</v>
      </c>
      <c r="M11">
        <v>119</v>
      </c>
      <c r="N11">
        <v>106</v>
      </c>
      <c r="O11">
        <v>94</v>
      </c>
      <c r="P11">
        <v>83</v>
      </c>
      <c r="Q11">
        <v>71</v>
      </c>
      <c r="R11">
        <v>60</v>
      </c>
      <c r="S11">
        <v>47</v>
      </c>
      <c r="T11">
        <v>35</v>
      </c>
      <c r="U11">
        <v>24</v>
      </c>
      <c r="V11">
        <v>14</v>
      </c>
      <c r="W11">
        <v>7</v>
      </c>
      <c r="X11" s="1">
        <v>4.5</v>
      </c>
      <c r="Y11">
        <v>4</v>
      </c>
      <c r="Z11" t="s">
        <v>179</v>
      </c>
      <c r="AB11" s="223" t="s">
        <v>521</v>
      </c>
      <c r="AC11" s="223">
        <v>0.129</v>
      </c>
      <c r="AD11" s="223">
        <v>6.4100000000000004E-2</v>
      </c>
    </row>
    <row r="12" spans="2:32" x14ac:dyDescent="0.25">
      <c r="B12" s="3">
        <v>9</v>
      </c>
      <c r="C12" t="s">
        <v>14</v>
      </c>
      <c r="D12">
        <v>407</v>
      </c>
      <c r="E12">
        <v>334</v>
      </c>
      <c r="F12">
        <v>275</v>
      </c>
      <c r="G12">
        <v>226</v>
      </c>
      <c r="H12">
        <v>187</v>
      </c>
      <c r="I12">
        <v>157</v>
      </c>
      <c r="J12">
        <v>132</v>
      </c>
      <c r="K12">
        <v>113</v>
      </c>
      <c r="L12">
        <v>97</v>
      </c>
      <c r="M12">
        <v>85</v>
      </c>
      <c r="N12">
        <v>75</v>
      </c>
      <c r="O12">
        <v>67</v>
      </c>
      <c r="P12">
        <v>59</v>
      </c>
      <c r="Q12">
        <v>52</v>
      </c>
      <c r="R12">
        <v>45</v>
      </c>
      <c r="S12">
        <v>38</v>
      </c>
      <c r="T12">
        <v>31</v>
      </c>
      <c r="U12">
        <v>24</v>
      </c>
      <c r="V12">
        <v>18</v>
      </c>
      <c r="W12">
        <v>12</v>
      </c>
      <c r="X12">
        <v>5</v>
      </c>
      <c r="Y12">
        <v>4.5</v>
      </c>
      <c r="Z12" t="s">
        <v>180</v>
      </c>
    </row>
    <row r="13" spans="2:32" x14ac:dyDescent="0.25">
      <c r="B13" s="3">
        <v>10</v>
      </c>
      <c r="C13" t="s">
        <v>15</v>
      </c>
      <c r="D13">
        <v>245</v>
      </c>
      <c r="E13">
        <v>203</v>
      </c>
      <c r="F13">
        <v>167</v>
      </c>
      <c r="G13">
        <v>139</v>
      </c>
      <c r="H13">
        <v>116</v>
      </c>
      <c r="I13">
        <v>97</v>
      </c>
      <c r="J13">
        <v>83</v>
      </c>
      <c r="K13">
        <v>71</v>
      </c>
      <c r="L13">
        <v>62</v>
      </c>
      <c r="M13">
        <v>55</v>
      </c>
      <c r="N13">
        <v>48</v>
      </c>
      <c r="O13">
        <v>43</v>
      </c>
      <c r="P13">
        <v>38</v>
      </c>
      <c r="Q13">
        <v>34</v>
      </c>
      <c r="R13">
        <v>30</v>
      </c>
      <c r="S13">
        <v>25</v>
      </c>
      <c r="T13">
        <v>21</v>
      </c>
      <c r="U13">
        <v>17</v>
      </c>
      <c r="V13">
        <v>13</v>
      </c>
      <c r="W13">
        <v>10</v>
      </c>
      <c r="X13" s="1">
        <v>5.5</v>
      </c>
      <c r="Y13">
        <v>5</v>
      </c>
      <c r="Z13">
        <v>1</v>
      </c>
    </row>
    <row r="14" spans="2:32" x14ac:dyDescent="0.25">
      <c r="B14" s="3">
        <v>11</v>
      </c>
      <c r="C14" t="s">
        <v>16</v>
      </c>
      <c r="D14">
        <v>286</v>
      </c>
      <c r="E14">
        <v>232</v>
      </c>
      <c r="F14">
        <v>188</v>
      </c>
      <c r="G14">
        <v>153</v>
      </c>
      <c r="H14">
        <v>125</v>
      </c>
      <c r="I14">
        <v>103</v>
      </c>
      <c r="J14">
        <v>86</v>
      </c>
      <c r="K14">
        <v>73</v>
      </c>
      <c r="L14">
        <v>63</v>
      </c>
      <c r="M14">
        <v>55</v>
      </c>
      <c r="N14">
        <v>49</v>
      </c>
      <c r="O14">
        <v>44</v>
      </c>
      <c r="P14">
        <v>39</v>
      </c>
      <c r="Q14">
        <v>34</v>
      </c>
      <c r="R14">
        <v>29</v>
      </c>
      <c r="S14">
        <v>24</v>
      </c>
      <c r="T14">
        <v>19</v>
      </c>
      <c r="U14">
        <v>15</v>
      </c>
      <c r="V14">
        <v>11</v>
      </c>
      <c r="W14">
        <v>7</v>
      </c>
      <c r="X14">
        <v>6</v>
      </c>
      <c r="Y14">
        <v>5.5</v>
      </c>
      <c r="Z14">
        <v>2</v>
      </c>
    </row>
    <row r="15" spans="2:32" x14ac:dyDescent="0.25">
      <c r="B15" s="3">
        <v>12</v>
      </c>
      <c r="C15" t="s">
        <v>17</v>
      </c>
      <c r="D15">
        <v>349</v>
      </c>
      <c r="E15">
        <v>285</v>
      </c>
      <c r="F15">
        <v>233</v>
      </c>
      <c r="G15">
        <v>191</v>
      </c>
      <c r="H15">
        <v>158</v>
      </c>
      <c r="I15">
        <v>132</v>
      </c>
      <c r="J15">
        <v>112</v>
      </c>
      <c r="K15">
        <v>96</v>
      </c>
      <c r="L15">
        <v>83</v>
      </c>
      <c r="M15">
        <v>73</v>
      </c>
      <c r="N15">
        <v>64</v>
      </c>
      <c r="O15">
        <v>57</v>
      </c>
      <c r="P15">
        <v>50</v>
      </c>
      <c r="Q15">
        <v>43</v>
      </c>
      <c r="R15">
        <v>36</v>
      </c>
      <c r="S15">
        <v>29</v>
      </c>
      <c r="T15">
        <v>22</v>
      </c>
      <c r="U15">
        <v>16</v>
      </c>
      <c r="V15">
        <v>10</v>
      </c>
      <c r="W15">
        <v>5</v>
      </c>
      <c r="X15" s="1">
        <v>6.5</v>
      </c>
      <c r="Y15">
        <v>6</v>
      </c>
      <c r="Z15">
        <v>3</v>
      </c>
    </row>
    <row r="16" spans="2:32" x14ac:dyDescent="0.25">
      <c r="B16" s="3">
        <v>13</v>
      </c>
      <c r="C16" t="s">
        <v>18</v>
      </c>
      <c r="D16">
        <v>483</v>
      </c>
      <c r="E16">
        <v>387</v>
      </c>
      <c r="F16">
        <v>311</v>
      </c>
      <c r="G16">
        <v>251</v>
      </c>
      <c r="H16">
        <v>204</v>
      </c>
      <c r="I16">
        <v>167</v>
      </c>
      <c r="J16">
        <v>139</v>
      </c>
      <c r="K16">
        <v>118</v>
      </c>
      <c r="L16">
        <v>102</v>
      </c>
      <c r="M16">
        <v>89</v>
      </c>
      <c r="N16">
        <v>79</v>
      </c>
      <c r="O16">
        <v>70</v>
      </c>
      <c r="P16">
        <v>61</v>
      </c>
      <c r="Q16">
        <v>52</v>
      </c>
      <c r="R16">
        <v>44</v>
      </c>
      <c r="S16">
        <v>34</v>
      </c>
      <c r="T16">
        <v>25</v>
      </c>
      <c r="U16">
        <v>17</v>
      </c>
      <c r="V16">
        <v>9</v>
      </c>
      <c r="W16">
        <v>4</v>
      </c>
      <c r="X16">
        <v>7</v>
      </c>
      <c r="Y16">
        <v>7</v>
      </c>
      <c r="Z16">
        <v>4</v>
      </c>
    </row>
    <row r="17" spans="2:26" x14ac:dyDescent="0.25">
      <c r="B17" s="3">
        <v>14</v>
      </c>
      <c r="C17" t="s">
        <v>19</v>
      </c>
      <c r="D17">
        <v>801</v>
      </c>
      <c r="E17">
        <v>661</v>
      </c>
      <c r="F17">
        <v>545</v>
      </c>
      <c r="G17">
        <v>451</v>
      </c>
      <c r="H17">
        <v>375</v>
      </c>
      <c r="I17">
        <v>314</v>
      </c>
      <c r="J17">
        <v>266</v>
      </c>
      <c r="K17">
        <v>227</v>
      </c>
      <c r="L17">
        <v>195</v>
      </c>
      <c r="M17">
        <v>169</v>
      </c>
      <c r="N17">
        <v>147</v>
      </c>
      <c r="O17">
        <v>128</v>
      </c>
      <c r="P17">
        <v>110</v>
      </c>
      <c r="Q17">
        <v>93</v>
      </c>
      <c r="R17">
        <v>76</v>
      </c>
      <c r="S17">
        <v>60</v>
      </c>
      <c r="T17">
        <v>43</v>
      </c>
      <c r="U17">
        <v>27</v>
      </c>
      <c r="V17">
        <v>13</v>
      </c>
      <c r="W17">
        <v>1</v>
      </c>
      <c r="X17" s="1">
        <v>7.5</v>
      </c>
      <c r="Y17">
        <v>8</v>
      </c>
      <c r="Z17">
        <v>5</v>
      </c>
    </row>
    <row r="18" spans="2:26" x14ac:dyDescent="0.25">
      <c r="B18" s="3">
        <v>15</v>
      </c>
      <c r="C18" t="s">
        <v>20</v>
      </c>
      <c r="D18">
        <v>429</v>
      </c>
      <c r="E18">
        <v>349</v>
      </c>
      <c r="F18">
        <v>284</v>
      </c>
      <c r="G18">
        <v>232</v>
      </c>
      <c r="H18">
        <v>191</v>
      </c>
      <c r="I18">
        <v>159</v>
      </c>
      <c r="J18">
        <v>133</v>
      </c>
      <c r="K18">
        <v>114</v>
      </c>
      <c r="L18">
        <v>98</v>
      </c>
      <c r="M18">
        <v>86</v>
      </c>
      <c r="N18">
        <v>76</v>
      </c>
      <c r="O18">
        <v>67</v>
      </c>
      <c r="P18">
        <v>58</v>
      </c>
      <c r="Q18">
        <v>50</v>
      </c>
      <c r="R18">
        <v>42</v>
      </c>
      <c r="S18">
        <v>34</v>
      </c>
      <c r="T18">
        <v>26</v>
      </c>
      <c r="U18">
        <v>19</v>
      </c>
      <c r="V18">
        <v>12</v>
      </c>
      <c r="W18">
        <v>6</v>
      </c>
      <c r="X18">
        <v>8</v>
      </c>
      <c r="Y18">
        <v>9</v>
      </c>
      <c r="Z18">
        <v>6</v>
      </c>
    </row>
    <row r="19" spans="2:26" x14ac:dyDescent="0.25">
      <c r="B19" s="3">
        <v>16</v>
      </c>
      <c r="C19" t="s">
        <v>21</v>
      </c>
      <c r="D19">
        <v>584</v>
      </c>
      <c r="E19">
        <v>480</v>
      </c>
      <c r="F19">
        <v>394</v>
      </c>
      <c r="G19">
        <v>325</v>
      </c>
      <c r="H19">
        <v>270</v>
      </c>
      <c r="I19">
        <v>227</v>
      </c>
      <c r="J19">
        <v>192</v>
      </c>
      <c r="K19">
        <v>165</v>
      </c>
      <c r="L19">
        <v>143</v>
      </c>
      <c r="M19">
        <v>125</v>
      </c>
      <c r="N19">
        <v>109</v>
      </c>
      <c r="O19">
        <v>96</v>
      </c>
      <c r="P19">
        <v>83</v>
      </c>
      <c r="Q19">
        <v>70</v>
      </c>
      <c r="R19">
        <v>58</v>
      </c>
      <c r="S19">
        <v>46</v>
      </c>
      <c r="T19">
        <v>33</v>
      </c>
      <c r="U19">
        <v>22</v>
      </c>
      <c r="V19">
        <v>11</v>
      </c>
      <c r="W19">
        <v>3</v>
      </c>
      <c r="X19" s="1">
        <v>8.5</v>
      </c>
      <c r="Y19">
        <v>10</v>
      </c>
      <c r="Z19">
        <v>7</v>
      </c>
    </row>
    <row r="20" spans="2:26" x14ac:dyDescent="0.25">
      <c r="B20" s="3">
        <v>17</v>
      </c>
      <c r="C20" t="s">
        <v>22</v>
      </c>
      <c r="D20">
        <v>286</v>
      </c>
      <c r="E20">
        <v>230</v>
      </c>
      <c r="F20">
        <v>184</v>
      </c>
      <c r="G20">
        <v>148</v>
      </c>
      <c r="H20">
        <v>120</v>
      </c>
      <c r="I20">
        <v>98</v>
      </c>
      <c r="J20">
        <v>81</v>
      </c>
      <c r="K20">
        <v>68</v>
      </c>
      <c r="L20">
        <v>58</v>
      </c>
      <c r="M20">
        <v>50</v>
      </c>
      <c r="N20">
        <v>44</v>
      </c>
      <c r="O20">
        <v>39</v>
      </c>
      <c r="P20">
        <v>35</v>
      </c>
      <c r="Q20">
        <v>30</v>
      </c>
      <c r="R20">
        <v>26</v>
      </c>
      <c r="S20">
        <v>22</v>
      </c>
      <c r="T20">
        <v>17</v>
      </c>
      <c r="U20">
        <v>13</v>
      </c>
      <c r="V20">
        <v>9</v>
      </c>
      <c r="W20">
        <v>6</v>
      </c>
      <c r="X20">
        <v>9</v>
      </c>
      <c r="Z20">
        <v>8</v>
      </c>
    </row>
    <row r="21" spans="2:26" x14ac:dyDescent="0.25">
      <c r="B21" s="3">
        <v>18</v>
      </c>
      <c r="C21" t="s">
        <v>23</v>
      </c>
      <c r="D21">
        <v>517</v>
      </c>
      <c r="E21">
        <v>423</v>
      </c>
      <c r="F21">
        <v>346</v>
      </c>
      <c r="G21">
        <v>284</v>
      </c>
      <c r="H21">
        <v>235</v>
      </c>
      <c r="I21">
        <v>195</v>
      </c>
      <c r="J21">
        <v>164</v>
      </c>
      <c r="K21">
        <v>140</v>
      </c>
      <c r="L21">
        <v>121</v>
      </c>
      <c r="M21">
        <v>105</v>
      </c>
      <c r="N21">
        <v>92</v>
      </c>
      <c r="O21">
        <v>81</v>
      </c>
      <c r="P21">
        <v>70</v>
      </c>
      <c r="Q21">
        <v>60</v>
      </c>
      <c r="R21">
        <v>50</v>
      </c>
      <c r="S21">
        <v>40</v>
      </c>
      <c r="T21">
        <v>30</v>
      </c>
      <c r="U21">
        <v>20</v>
      </c>
      <c r="V21">
        <v>12</v>
      </c>
      <c r="W21">
        <v>5</v>
      </c>
      <c r="X21" s="1">
        <v>9.5</v>
      </c>
      <c r="Z21">
        <v>9</v>
      </c>
    </row>
    <row r="22" spans="2:26" x14ac:dyDescent="0.25">
      <c r="B22" s="3">
        <v>19</v>
      </c>
      <c r="C22" t="s">
        <v>24</v>
      </c>
      <c r="D22">
        <v>525</v>
      </c>
      <c r="E22">
        <v>434</v>
      </c>
      <c r="F22">
        <v>359</v>
      </c>
      <c r="G22">
        <v>298</v>
      </c>
      <c r="H22">
        <v>249</v>
      </c>
      <c r="I22">
        <v>209</v>
      </c>
      <c r="J22">
        <v>177</v>
      </c>
      <c r="K22">
        <v>151</v>
      </c>
      <c r="L22">
        <v>131</v>
      </c>
      <c r="M22">
        <v>114</v>
      </c>
      <c r="N22">
        <v>100</v>
      </c>
      <c r="O22">
        <v>87</v>
      </c>
      <c r="P22">
        <v>76</v>
      </c>
      <c r="Q22">
        <v>66</v>
      </c>
      <c r="R22">
        <v>56</v>
      </c>
      <c r="S22">
        <v>45</v>
      </c>
      <c r="T22">
        <v>35</v>
      </c>
      <c r="U22">
        <v>26</v>
      </c>
      <c r="V22">
        <v>17</v>
      </c>
      <c r="W22">
        <v>9</v>
      </c>
      <c r="X22">
        <v>10</v>
      </c>
      <c r="Z22">
        <v>10</v>
      </c>
    </row>
    <row r="23" spans="2:26" x14ac:dyDescent="0.25">
      <c r="B23" s="3">
        <v>20</v>
      </c>
      <c r="C23" t="s">
        <v>25</v>
      </c>
      <c r="D23">
        <v>804</v>
      </c>
      <c r="E23">
        <v>663</v>
      </c>
      <c r="F23">
        <v>548</v>
      </c>
      <c r="G23">
        <v>455</v>
      </c>
      <c r="H23">
        <v>380</v>
      </c>
      <c r="I23">
        <v>321</v>
      </c>
      <c r="J23">
        <v>273</v>
      </c>
      <c r="K23">
        <v>235</v>
      </c>
      <c r="L23">
        <v>204</v>
      </c>
      <c r="M23">
        <v>178</v>
      </c>
      <c r="N23">
        <v>156</v>
      </c>
      <c r="O23">
        <v>137</v>
      </c>
      <c r="P23">
        <v>118</v>
      </c>
      <c r="Q23">
        <v>100</v>
      </c>
      <c r="R23">
        <v>82</v>
      </c>
      <c r="S23">
        <v>64</v>
      </c>
      <c r="T23">
        <v>47</v>
      </c>
      <c r="U23">
        <v>30</v>
      </c>
      <c r="V23">
        <v>15</v>
      </c>
      <c r="W23">
        <v>3</v>
      </c>
      <c r="Z23" t="s">
        <v>188</v>
      </c>
    </row>
    <row r="24" spans="2:26" x14ac:dyDescent="0.25">
      <c r="B24" s="3">
        <v>21</v>
      </c>
      <c r="C24" t="s">
        <v>26</v>
      </c>
      <c r="D24">
        <v>676</v>
      </c>
      <c r="E24">
        <v>559</v>
      </c>
      <c r="F24">
        <v>462</v>
      </c>
      <c r="G24">
        <v>384</v>
      </c>
      <c r="H24">
        <v>321</v>
      </c>
      <c r="I24">
        <v>271</v>
      </c>
      <c r="J24">
        <v>230</v>
      </c>
      <c r="K24">
        <v>198</v>
      </c>
      <c r="L24">
        <v>171</v>
      </c>
      <c r="M24">
        <v>149</v>
      </c>
      <c r="N24">
        <v>131</v>
      </c>
      <c r="O24">
        <v>114</v>
      </c>
      <c r="P24">
        <v>98</v>
      </c>
      <c r="Q24">
        <v>83</v>
      </c>
      <c r="R24">
        <v>68</v>
      </c>
      <c r="S24">
        <v>54</v>
      </c>
      <c r="T24">
        <v>39</v>
      </c>
      <c r="U24">
        <v>25</v>
      </c>
      <c r="V24">
        <v>13</v>
      </c>
      <c r="W24">
        <v>2</v>
      </c>
      <c r="Z24" s="16" t="s">
        <v>189</v>
      </c>
    </row>
    <row r="25" spans="2:26" x14ac:dyDescent="0.25">
      <c r="B25" s="3">
        <v>22</v>
      </c>
      <c r="C25" t="s">
        <v>27</v>
      </c>
      <c r="D25">
        <v>791</v>
      </c>
      <c r="E25">
        <v>653</v>
      </c>
      <c r="F25">
        <v>541</v>
      </c>
      <c r="G25">
        <v>449</v>
      </c>
      <c r="H25">
        <v>376</v>
      </c>
      <c r="I25">
        <v>317</v>
      </c>
      <c r="J25">
        <v>269</v>
      </c>
      <c r="K25">
        <v>231</v>
      </c>
      <c r="L25">
        <v>201</v>
      </c>
      <c r="M25">
        <v>175</v>
      </c>
      <c r="N25">
        <v>153</v>
      </c>
      <c r="O25">
        <v>133</v>
      </c>
      <c r="P25">
        <v>115</v>
      </c>
      <c r="Q25">
        <v>98</v>
      </c>
      <c r="R25">
        <v>80</v>
      </c>
      <c r="S25">
        <v>63</v>
      </c>
      <c r="T25">
        <v>46</v>
      </c>
      <c r="U25">
        <v>30</v>
      </c>
      <c r="V25">
        <v>15</v>
      </c>
      <c r="W25">
        <v>2</v>
      </c>
    </row>
    <row r="26" spans="2:26" x14ac:dyDescent="0.25">
      <c r="B26" s="3">
        <v>23</v>
      </c>
      <c r="C26" t="s">
        <v>28</v>
      </c>
      <c r="D26">
        <v>895</v>
      </c>
      <c r="E26">
        <v>740</v>
      </c>
      <c r="F26">
        <v>615</v>
      </c>
      <c r="G26">
        <v>513</v>
      </c>
      <c r="H26">
        <v>431</v>
      </c>
      <c r="I26">
        <v>366</v>
      </c>
      <c r="J26">
        <v>314</v>
      </c>
      <c r="K26">
        <v>272</v>
      </c>
      <c r="L26">
        <v>237</v>
      </c>
      <c r="M26">
        <v>208</v>
      </c>
      <c r="N26">
        <v>183</v>
      </c>
      <c r="O26">
        <v>160</v>
      </c>
      <c r="P26">
        <v>138</v>
      </c>
      <c r="Q26">
        <v>117</v>
      </c>
      <c r="R26">
        <v>95</v>
      </c>
      <c r="S26">
        <v>74</v>
      </c>
      <c r="T26">
        <v>53</v>
      </c>
      <c r="U26">
        <v>33</v>
      </c>
      <c r="V26">
        <v>15</v>
      </c>
      <c r="W26">
        <v>1</v>
      </c>
    </row>
    <row r="27" spans="2:26" x14ac:dyDescent="0.25">
      <c r="B27" s="3">
        <v>24</v>
      </c>
      <c r="C27" s="14" t="s">
        <v>124</v>
      </c>
      <c r="D27" s="14">
        <v>957</v>
      </c>
      <c r="E27" s="14">
        <v>792</v>
      </c>
      <c r="F27" s="14">
        <v>657</v>
      </c>
      <c r="G27" s="14">
        <v>547</v>
      </c>
      <c r="H27" s="14">
        <v>458</v>
      </c>
      <c r="I27" s="14">
        <v>387</v>
      </c>
      <c r="J27" s="14">
        <v>330</v>
      </c>
      <c r="K27" s="14">
        <v>284</v>
      </c>
      <c r="L27" s="14">
        <v>247</v>
      </c>
      <c r="M27" s="14">
        <v>216</v>
      </c>
      <c r="N27" s="14">
        <v>189</v>
      </c>
      <c r="O27" s="14">
        <v>165</v>
      </c>
      <c r="P27" s="14">
        <v>142</v>
      </c>
      <c r="Q27" s="14">
        <v>120</v>
      </c>
      <c r="R27" s="14">
        <v>99</v>
      </c>
      <c r="S27" s="14">
        <v>77</v>
      </c>
      <c r="T27" s="14">
        <v>56</v>
      </c>
      <c r="U27" s="14">
        <v>35</v>
      </c>
      <c r="V27" s="14">
        <v>17</v>
      </c>
      <c r="W27" s="14">
        <v>2</v>
      </c>
    </row>
    <row r="28" spans="2:26" x14ac:dyDescent="0.25">
      <c r="B28" s="3">
        <v>25</v>
      </c>
      <c r="C28" s="14" t="s">
        <v>125</v>
      </c>
      <c r="D28" s="14">
        <v>1666</v>
      </c>
      <c r="E28" s="14">
        <v>1404</v>
      </c>
      <c r="F28" s="14">
        <v>1188</v>
      </c>
      <c r="G28" s="14">
        <v>1012</v>
      </c>
      <c r="H28" s="14">
        <v>870</v>
      </c>
      <c r="I28" s="14">
        <v>753</v>
      </c>
      <c r="J28" s="14">
        <v>658</v>
      </c>
      <c r="K28" s="14">
        <v>580</v>
      </c>
      <c r="L28" s="14">
        <v>513</v>
      </c>
      <c r="M28" s="14">
        <v>454</v>
      </c>
      <c r="N28" s="14">
        <v>401</v>
      </c>
      <c r="O28" s="14">
        <v>352</v>
      </c>
      <c r="P28" s="14">
        <v>303</v>
      </c>
      <c r="Q28" s="14">
        <v>255</v>
      </c>
      <c r="R28" s="14">
        <v>208</v>
      </c>
      <c r="S28" s="14">
        <v>160</v>
      </c>
      <c r="T28" s="14">
        <v>114</v>
      </c>
      <c r="U28" s="14">
        <v>71</v>
      </c>
      <c r="V28" s="14">
        <v>33</v>
      </c>
      <c r="W28" s="14">
        <v>1</v>
      </c>
    </row>
    <row r="29" spans="2:26" x14ac:dyDescent="0.25">
      <c r="B29" s="3">
        <v>26</v>
      </c>
      <c r="C29" s="14" t="s">
        <v>126</v>
      </c>
      <c r="D29" s="14">
        <v>876</v>
      </c>
      <c r="E29" s="14">
        <v>723</v>
      </c>
      <c r="F29" s="14">
        <v>598</v>
      </c>
      <c r="G29" s="14">
        <v>498</v>
      </c>
      <c r="H29" s="14">
        <v>417</v>
      </c>
      <c r="I29" s="14">
        <v>354</v>
      </c>
      <c r="J29" s="14">
        <v>303</v>
      </c>
      <c r="K29" s="14">
        <v>262</v>
      </c>
      <c r="L29" s="14">
        <v>229</v>
      </c>
      <c r="M29" s="14">
        <v>202</v>
      </c>
      <c r="N29" s="14">
        <v>177</v>
      </c>
      <c r="O29" s="14">
        <v>155</v>
      </c>
      <c r="P29" s="14">
        <v>134</v>
      </c>
      <c r="Q29" s="14">
        <v>113</v>
      </c>
      <c r="R29" s="14">
        <v>92</v>
      </c>
      <c r="S29" s="14">
        <v>71</v>
      </c>
      <c r="T29" s="14">
        <v>51</v>
      </c>
      <c r="U29" s="14">
        <v>31</v>
      </c>
      <c r="V29" s="14">
        <v>14</v>
      </c>
      <c r="W29" s="14">
        <v>0</v>
      </c>
    </row>
    <row r="30" spans="2:26" x14ac:dyDescent="0.25">
      <c r="B30" s="3">
        <v>27</v>
      </c>
      <c r="C30" s="14" t="s">
        <v>127</v>
      </c>
      <c r="D30" s="14">
        <v>660</v>
      </c>
      <c r="E30" s="14">
        <v>541</v>
      </c>
      <c r="F30" s="14">
        <v>444</v>
      </c>
      <c r="G30" s="14">
        <v>367</v>
      </c>
      <c r="H30" s="14">
        <v>305</v>
      </c>
      <c r="I30" s="14">
        <v>256</v>
      </c>
      <c r="J30" s="14">
        <v>218</v>
      </c>
      <c r="K30" s="14">
        <v>187</v>
      </c>
      <c r="L30" s="14">
        <v>163</v>
      </c>
      <c r="M30" s="14">
        <v>143</v>
      </c>
      <c r="N30" s="14">
        <v>126</v>
      </c>
      <c r="O30" s="14">
        <v>110</v>
      </c>
      <c r="P30" s="14">
        <v>96</v>
      </c>
      <c r="Q30" s="14">
        <v>81</v>
      </c>
      <c r="R30" s="14">
        <v>67</v>
      </c>
      <c r="S30" s="14">
        <v>53</v>
      </c>
      <c r="T30" s="14">
        <v>38</v>
      </c>
      <c r="U30" s="14">
        <v>25</v>
      </c>
      <c r="V30" s="14">
        <v>13</v>
      </c>
      <c r="W30" s="14">
        <v>3</v>
      </c>
    </row>
    <row r="31" spans="2:26" x14ac:dyDescent="0.25">
      <c r="B31" s="3">
        <v>28</v>
      </c>
      <c r="C31" s="14" t="s">
        <v>128</v>
      </c>
      <c r="D31" s="14">
        <v>555</v>
      </c>
      <c r="E31" s="14">
        <v>450</v>
      </c>
      <c r="F31" s="14">
        <v>365</v>
      </c>
      <c r="G31" s="14">
        <v>298</v>
      </c>
      <c r="H31" s="14">
        <v>245</v>
      </c>
      <c r="I31" s="14">
        <v>203</v>
      </c>
      <c r="J31" s="14">
        <v>171</v>
      </c>
      <c r="K31" s="14">
        <v>146</v>
      </c>
      <c r="L31" s="14">
        <v>127</v>
      </c>
      <c r="M31" s="14">
        <v>112</v>
      </c>
      <c r="N31" s="14">
        <v>99</v>
      </c>
      <c r="O31" s="14">
        <v>87</v>
      </c>
      <c r="P31" s="14">
        <v>77</v>
      </c>
      <c r="Q31" s="14">
        <v>66</v>
      </c>
      <c r="R31" s="14">
        <v>55</v>
      </c>
      <c r="S31" s="14">
        <v>44</v>
      </c>
      <c r="T31" s="14">
        <v>34</v>
      </c>
      <c r="U31" s="14">
        <v>23</v>
      </c>
      <c r="V31" s="14">
        <v>14</v>
      </c>
      <c r="W31" s="14">
        <v>7</v>
      </c>
    </row>
    <row r="32" spans="2:26" x14ac:dyDescent="0.25">
      <c r="B32" s="3">
        <v>29</v>
      </c>
      <c r="C32" s="14" t="s">
        <v>129</v>
      </c>
      <c r="D32" s="14">
        <v>830</v>
      </c>
      <c r="E32" s="14">
        <v>743</v>
      </c>
      <c r="F32" s="14">
        <v>671</v>
      </c>
      <c r="G32" s="14">
        <v>611</v>
      </c>
      <c r="H32" s="14">
        <v>560</v>
      </c>
      <c r="I32" s="14">
        <v>517</v>
      </c>
      <c r="J32" s="14">
        <v>479</v>
      </c>
      <c r="K32" s="14">
        <v>445</v>
      </c>
      <c r="L32" s="14">
        <v>414</v>
      </c>
      <c r="M32" s="14">
        <v>384</v>
      </c>
      <c r="N32" s="14">
        <v>355</v>
      </c>
      <c r="O32" s="14">
        <v>326</v>
      </c>
      <c r="P32" s="14">
        <v>296</v>
      </c>
      <c r="Q32" s="14">
        <v>266</v>
      </c>
      <c r="R32" s="14">
        <v>237</v>
      </c>
      <c r="S32" s="14">
        <v>207</v>
      </c>
      <c r="T32" s="14">
        <v>179</v>
      </c>
      <c r="U32" s="14">
        <v>153</v>
      </c>
      <c r="V32" s="14">
        <v>130</v>
      </c>
      <c r="W32" s="14">
        <v>111</v>
      </c>
    </row>
    <row r="33" spans="2:23" x14ac:dyDescent="0.25">
      <c r="B33" s="3">
        <v>30</v>
      </c>
      <c r="C33" s="14" t="s">
        <v>130</v>
      </c>
      <c r="D33" s="14">
        <v>1229</v>
      </c>
      <c r="E33" s="14">
        <v>1071</v>
      </c>
      <c r="F33" s="14">
        <v>943</v>
      </c>
      <c r="G33" s="14">
        <v>839</v>
      </c>
      <c r="H33" s="14">
        <v>754</v>
      </c>
      <c r="I33" s="14">
        <v>685</v>
      </c>
      <c r="J33" s="14">
        <v>626</v>
      </c>
      <c r="K33" s="14">
        <v>576</v>
      </c>
      <c r="L33" s="14">
        <v>530</v>
      </c>
      <c r="M33" s="14">
        <v>488</v>
      </c>
      <c r="N33" s="14">
        <v>447</v>
      </c>
      <c r="O33" s="14">
        <v>406</v>
      </c>
      <c r="P33" s="14">
        <v>364</v>
      </c>
      <c r="Q33" s="14">
        <v>321</v>
      </c>
      <c r="R33" s="14">
        <v>278</v>
      </c>
      <c r="S33" s="14">
        <v>234</v>
      </c>
      <c r="T33" s="14">
        <v>192</v>
      </c>
      <c r="U33" s="14">
        <v>154</v>
      </c>
      <c r="V33" s="14">
        <v>121</v>
      </c>
      <c r="W33" s="14">
        <v>95</v>
      </c>
    </row>
    <row r="34" spans="2:23" x14ac:dyDescent="0.25">
      <c r="B34" s="3">
        <v>31</v>
      </c>
      <c r="C34" s="14" t="s">
        <v>131</v>
      </c>
      <c r="D34" s="14">
        <v>427</v>
      </c>
      <c r="E34" s="14">
        <v>391</v>
      </c>
      <c r="F34" s="14">
        <v>359</v>
      </c>
      <c r="G34" s="14">
        <v>330</v>
      </c>
      <c r="H34" s="14">
        <v>305</v>
      </c>
      <c r="I34" s="14">
        <v>282</v>
      </c>
      <c r="J34" s="14">
        <v>261</v>
      </c>
      <c r="K34" s="14">
        <v>242</v>
      </c>
      <c r="L34" s="14">
        <v>224</v>
      </c>
      <c r="M34" s="14">
        <v>207</v>
      </c>
      <c r="N34" s="14">
        <v>191</v>
      </c>
      <c r="O34" s="14">
        <v>176</v>
      </c>
      <c r="P34" s="14">
        <v>160</v>
      </c>
      <c r="Q34" s="14">
        <v>146</v>
      </c>
      <c r="R34" s="14">
        <v>132</v>
      </c>
      <c r="S34" s="14">
        <v>118</v>
      </c>
      <c r="T34" s="14">
        <v>105</v>
      </c>
      <c r="U34" s="14">
        <v>93</v>
      </c>
      <c r="V34" s="14">
        <v>81</v>
      </c>
      <c r="W34" s="14">
        <v>71</v>
      </c>
    </row>
    <row r="35" spans="2:23" x14ac:dyDescent="0.25">
      <c r="B35" s="3">
        <v>32</v>
      </c>
      <c r="C35" s="14" t="s">
        <v>132</v>
      </c>
      <c r="D35" s="14">
        <v>330</v>
      </c>
      <c r="E35" s="14">
        <v>302</v>
      </c>
      <c r="F35" s="14">
        <v>276</v>
      </c>
      <c r="G35" s="14">
        <v>253</v>
      </c>
      <c r="H35" s="14">
        <v>232</v>
      </c>
      <c r="I35" s="14">
        <v>214</v>
      </c>
      <c r="J35" s="14">
        <v>197</v>
      </c>
      <c r="K35" s="14">
        <v>181</v>
      </c>
      <c r="L35" s="14">
        <v>167</v>
      </c>
      <c r="M35" s="14">
        <v>153</v>
      </c>
      <c r="N35" s="14">
        <v>140</v>
      </c>
      <c r="O35" s="14">
        <v>128</v>
      </c>
      <c r="P35" s="14">
        <v>117</v>
      </c>
      <c r="Q35" s="14">
        <v>105</v>
      </c>
      <c r="R35" s="14">
        <v>94</v>
      </c>
      <c r="S35" s="14">
        <v>84</v>
      </c>
      <c r="T35" s="14">
        <v>74</v>
      </c>
      <c r="U35" s="14">
        <v>64</v>
      </c>
      <c r="V35" s="14">
        <v>56</v>
      </c>
      <c r="W35" s="14">
        <v>48</v>
      </c>
    </row>
    <row r="36" spans="2:23" x14ac:dyDescent="0.25">
      <c r="B36" s="3">
        <v>33</v>
      </c>
      <c r="C36" s="14" t="s">
        <v>133</v>
      </c>
      <c r="D36" s="14">
        <v>732</v>
      </c>
      <c r="E36" s="14">
        <v>652</v>
      </c>
      <c r="F36" s="14">
        <v>585</v>
      </c>
      <c r="G36" s="14">
        <v>531</v>
      </c>
      <c r="H36" s="14">
        <v>486</v>
      </c>
      <c r="I36" s="14">
        <v>448</v>
      </c>
      <c r="J36" s="14">
        <v>416</v>
      </c>
      <c r="K36" s="14">
        <v>387</v>
      </c>
      <c r="L36" s="14">
        <v>360</v>
      </c>
      <c r="M36" s="14">
        <v>335</v>
      </c>
      <c r="N36" s="14">
        <v>310</v>
      </c>
      <c r="O36" s="14">
        <v>285</v>
      </c>
      <c r="P36" s="14">
        <v>260</v>
      </c>
      <c r="Q36" s="14">
        <v>234</v>
      </c>
      <c r="R36" s="14">
        <v>208</v>
      </c>
      <c r="S36" s="14">
        <v>182</v>
      </c>
      <c r="T36" s="14">
        <v>157</v>
      </c>
      <c r="U36" s="14">
        <v>134</v>
      </c>
      <c r="V36" s="14">
        <v>115</v>
      </c>
      <c r="W36" s="14">
        <v>99</v>
      </c>
    </row>
    <row r="37" spans="2:23" x14ac:dyDescent="0.25">
      <c r="B37" s="3">
        <v>34</v>
      </c>
      <c r="C37" s="14" t="s">
        <v>134</v>
      </c>
      <c r="D37" s="14">
        <v>511</v>
      </c>
      <c r="E37" s="14">
        <v>439</v>
      </c>
      <c r="F37" s="14">
        <v>379</v>
      </c>
      <c r="G37" s="14">
        <v>330</v>
      </c>
      <c r="H37" s="14">
        <v>290</v>
      </c>
      <c r="I37" s="14">
        <v>256</v>
      </c>
      <c r="J37" s="14">
        <v>228</v>
      </c>
      <c r="K37" s="14">
        <v>204</v>
      </c>
      <c r="L37" s="14">
        <v>184</v>
      </c>
      <c r="M37" s="14">
        <v>166</v>
      </c>
      <c r="N37" s="14">
        <v>149</v>
      </c>
      <c r="O37" s="14">
        <v>134</v>
      </c>
      <c r="P37" s="14">
        <v>119</v>
      </c>
      <c r="Q37" s="14">
        <v>104</v>
      </c>
      <c r="R37" s="14">
        <v>89</v>
      </c>
      <c r="S37" s="14">
        <v>74</v>
      </c>
      <c r="T37" s="14">
        <v>60</v>
      </c>
      <c r="U37" s="14">
        <v>47</v>
      </c>
      <c r="V37" s="14">
        <v>35</v>
      </c>
      <c r="W37" s="14">
        <v>25</v>
      </c>
    </row>
    <row r="38" spans="2:23" x14ac:dyDescent="0.25">
      <c r="B38" s="3">
        <v>35</v>
      </c>
      <c r="C38" s="14" t="s">
        <v>135</v>
      </c>
      <c r="D38" s="14">
        <v>275</v>
      </c>
      <c r="E38" s="14">
        <v>248</v>
      </c>
      <c r="F38" s="14">
        <v>224</v>
      </c>
      <c r="G38" s="14">
        <v>202</v>
      </c>
      <c r="H38" s="14">
        <v>183</v>
      </c>
      <c r="I38" s="14">
        <v>165</v>
      </c>
      <c r="J38" s="14">
        <v>150</v>
      </c>
      <c r="K38" s="14">
        <v>136</v>
      </c>
      <c r="L38" s="14">
        <v>123</v>
      </c>
      <c r="M38" s="14">
        <v>112</v>
      </c>
      <c r="N38" s="14">
        <v>102</v>
      </c>
      <c r="O38" s="14">
        <v>92</v>
      </c>
      <c r="P38" s="14">
        <v>83</v>
      </c>
      <c r="Q38" s="14">
        <v>75</v>
      </c>
      <c r="R38" s="14">
        <v>68</v>
      </c>
      <c r="S38" s="14">
        <v>60</v>
      </c>
      <c r="T38" s="14">
        <v>53</v>
      </c>
      <c r="U38" s="14">
        <v>47</v>
      </c>
      <c r="V38" s="14">
        <v>40</v>
      </c>
      <c r="W38" s="14">
        <v>34</v>
      </c>
    </row>
    <row r="39" spans="2:23" x14ac:dyDescent="0.25">
      <c r="B39" s="3">
        <v>36</v>
      </c>
      <c r="C39" s="14" t="s">
        <v>136</v>
      </c>
      <c r="D39" s="14">
        <v>220</v>
      </c>
      <c r="E39" s="14">
        <v>191</v>
      </c>
      <c r="F39" s="14">
        <v>167</v>
      </c>
      <c r="G39" s="14">
        <v>146</v>
      </c>
      <c r="H39" s="14">
        <v>129</v>
      </c>
      <c r="I39" s="14">
        <v>114</v>
      </c>
      <c r="J39" s="14">
        <v>101</v>
      </c>
      <c r="K39" s="14">
        <v>90</v>
      </c>
      <c r="L39" s="14">
        <v>81</v>
      </c>
      <c r="M39" s="14">
        <v>73</v>
      </c>
      <c r="N39" s="14">
        <v>66</v>
      </c>
      <c r="O39" s="14">
        <v>59</v>
      </c>
      <c r="P39" s="14">
        <v>53</v>
      </c>
      <c r="Q39" s="14">
        <v>48</v>
      </c>
      <c r="R39" s="14">
        <v>42</v>
      </c>
      <c r="S39" s="14">
        <v>37</v>
      </c>
      <c r="T39" s="14">
        <v>32</v>
      </c>
      <c r="U39" s="14">
        <v>28</v>
      </c>
      <c r="V39" s="14">
        <v>23</v>
      </c>
      <c r="W39" s="14">
        <v>19</v>
      </c>
    </row>
    <row r="40" spans="2:23" x14ac:dyDescent="0.25">
      <c r="B40" s="3">
        <v>37</v>
      </c>
      <c r="C40" s="14" t="s">
        <v>137</v>
      </c>
      <c r="D40" s="14">
        <v>755</v>
      </c>
      <c r="E40" s="14">
        <v>649</v>
      </c>
      <c r="F40" s="14">
        <v>563</v>
      </c>
      <c r="G40" s="14">
        <v>492</v>
      </c>
      <c r="H40" s="14">
        <v>434</v>
      </c>
      <c r="I40" s="14">
        <v>387</v>
      </c>
      <c r="J40" s="14">
        <v>348</v>
      </c>
      <c r="K40" s="14">
        <v>315</v>
      </c>
      <c r="L40" s="14">
        <v>286</v>
      </c>
      <c r="M40" s="14">
        <v>259</v>
      </c>
      <c r="N40" s="14">
        <v>235</v>
      </c>
      <c r="O40" s="14">
        <v>211</v>
      </c>
      <c r="P40" s="14">
        <v>187</v>
      </c>
      <c r="Q40" s="14">
        <v>162</v>
      </c>
      <c r="R40" s="14">
        <v>138</v>
      </c>
      <c r="S40" s="14">
        <v>114</v>
      </c>
      <c r="T40" s="14">
        <v>90</v>
      </c>
      <c r="U40" s="14">
        <v>69</v>
      </c>
      <c r="V40" s="14">
        <v>50</v>
      </c>
      <c r="W40" s="14">
        <v>34</v>
      </c>
    </row>
    <row r="41" spans="2:23" x14ac:dyDescent="0.25">
      <c r="B41" s="3">
        <v>38</v>
      </c>
      <c r="C41" s="14" t="s">
        <v>138</v>
      </c>
      <c r="D41" s="14">
        <v>631</v>
      </c>
      <c r="E41" s="14">
        <v>545</v>
      </c>
      <c r="F41" s="14">
        <v>473</v>
      </c>
      <c r="G41" s="14">
        <v>414</v>
      </c>
      <c r="H41" s="14">
        <v>366</v>
      </c>
      <c r="I41" s="14">
        <v>325</v>
      </c>
      <c r="J41" s="14">
        <v>291</v>
      </c>
      <c r="K41" s="14">
        <v>262</v>
      </c>
      <c r="L41" s="14">
        <v>236</v>
      </c>
      <c r="M41" s="14">
        <v>213</v>
      </c>
      <c r="N41" s="14">
        <v>191</v>
      </c>
      <c r="O41" s="14">
        <v>170</v>
      </c>
      <c r="P41" s="14">
        <v>150</v>
      </c>
      <c r="Q41" s="14">
        <v>129</v>
      </c>
      <c r="R41" s="14">
        <v>109</v>
      </c>
      <c r="S41" s="14">
        <v>89</v>
      </c>
      <c r="T41" s="14">
        <v>70</v>
      </c>
      <c r="U41" s="14">
        <v>52</v>
      </c>
      <c r="V41" s="14">
        <v>36</v>
      </c>
      <c r="W41" s="14">
        <v>22</v>
      </c>
    </row>
    <row r="42" spans="2:23" x14ac:dyDescent="0.25">
      <c r="B42" s="3">
        <v>39</v>
      </c>
      <c r="C42" s="14" t="s">
        <v>139</v>
      </c>
      <c r="D42" s="14">
        <v>656</v>
      </c>
      <c r="E42" s="14">
        <v>560</v>
      </c>
      <c r="F42" s="14">
        <v>481</v>
      </c>
      <c r="G42" s="14">
        <v>417</v>
      </c>
      <c r="H42" s="14">
        <v>363</v>
      </c>
      <c r="I42" s="14">
        <v>320</v>
      </c>
      <c r="J42" s="14">
        <v>284</v>
      </c>
      <c r="K42" s="14">
        <v>253</v>
      </c>
      <c r="L42" s="14">
        <v>227</v>
      </c>
      <c r="M42" s="14">
        <v>205</v>
      </c>
      <c r="N42" s="14">
        <v>184</v>
      </c>
      <c r="O42" s="14">
        <v>164</v>
      </c>
      <c r="P42" s="14">
        <v>145</v>
      </c>
      <c r="Q42" s="14">
        <v>126</v>
      </c>
      <c r="R42" s="14">
        <v>108</v>
      </c>
      <c r="S42" s="14">
        <v>90</v>
      </c>
      <c r="T42" s="14">
        <v>72</v>
      </c>
      <c r="U42" s="14">
        <v>55</v>
      </c>
      <c r="V42" s="14">
        <v>40</v>
      </c>
      <c r="W42" s="14">
        <v>28</v>
      </c>
    </row>
    <row r="43" spans="2:23" x14ac:dyDescent="0.25">
      <c r="B43" s="3">
        <v>40</v>
      </c>
      <c r="C43" s="14" t="s">
        <v>140</v>
      </c>
      <c r="D43" s="14">
        <v>631</v>
      </c>
      <c r="E43" s="14">
        <v>527</v>
      </c>
      <c r="F43" s="14">
        <v>442</v>
      </c>
      <c r="G43" s="14">
        <v>373</v>
      </c>
      <c r="H43" s="14">
        <v>318</v>
      </c>
      <c r="I43" s="14">
        <v>273</v>
      </c>
      <c r="J43" s="14">
        <v>237</v>
      </c>
      <c r="K43" s="14">
        <v>207</v>
      </c>
      <c r="L43" s="14">
        <v>183</v>
      </c>
      <c r="M43" s="14">
        <v>162</v>
      </c>
      <c r="N43" s="14">
        <v>144</v>
      </c>
      <c r="O43" s="14">
        <v>127</v>
      </c>
      <c r="P43" s="14">
        <v>111</v>
      </c>
      <c r="Q43" s="14">
        <v>95</v>
      </c>
      <c r="R43" s="14">
        <v>80</v>
      </c>
      <c r="S43" s="14">
        <v>64</v>
      </c>
      <c r="T43" s="14">
        <v>49</v>
      </c>
      <c r="U43" s="14">
        <v>35</v>
      </c>
      <c r="V43" s="14">
        <v>22</v>
      </c>
      <c r="W43" s="14">
        <v>11</v>
      </c>
    </row>
    <row r="44" spans="2:23" x14ac:dyDescent="0.25">
      <c r="B44" s="3">
        <v>41</v>
      </c>
      <c r="C44" s="14" t="s">
        <v>141</v>
      </c>
      <c r="D44" s="14">
        <v>517</v>
      </c>
      <c r="E44" s="14">
        <v>429</v>
      </c>
      <c r="F44" s="14">
        <v>357</v>
      </c>
      <c r="G44" s="14">
        <v>298</v>
      </c>
      <c r="H44" s="14">
        <v>252</v>
      </c>
      <c r="I44" s="14">
        <v>215</v>
      </c>
      <c r="J44" s="14">
        <v>185</v>
      </c>
      <c r="K44" s="14">
        <v>161</v>
      </c>
      <c r="L44" s="14">
        <v>142</v>
      </c>
      <c r="M44" s="14">
        <v>126</v>
      </c>
      <c r="N44" s="14">
        <v>111</v>
      </c>
      <c r="O44" s="14">
        <v>98</v>
      </c>
      <c r="P44" s="14">
        <v>86</v>
      </c>
      <c r="Q44" s="14">
        <v>73</v>
      </c>
      <c r="R44" s="14">
        <v>61</v>
      </c>
      <c r="S44" s="14">
        <v>49</v>
      </c>
      <c r="T44" s="14">
        <v>36</v>
      </c>
      <c r="U44" s="14">
        <v>25</v>
      </c>
      <c r="V44" s="14">
        <v>15</v>
      </c>
      <c r="W44" s="14">
        <v>7</v>
      </c>
    </row>
    <row r="45" spans="2:23" x14ac:dyDescent="0.25">
      <c r="B45" s="3">
        <v>42</v>
      </c>
      <c r="C45" s="14" t="s">
        <v>142</v>
      </c>
      <c r="D45" s="14">
        <v>437</v>
      </c>
      <c r="E45" s="14">
        <v>358</v>
      </c>
      <c r="F45" s="14">
        <v>293</v>
      </c>
      <c r="G45" s="14">
        <v>241</v>
      </c>
      <c r="H45" s="14">
        <v>200</v>
      </c>
      <c r="I45" s="14">
        <v>167</v>
      </c>
      <c r="J45" s="14">
        <v>141</v>
      </c>
      <c r="K45" s="14">
        <v>120</v>
      </c>
      <c r="L45" s="14">
        <v>104</v>
      </c>
      <c r="M45" s="14">
        <v>91</v>
      </c>
      <c r="N45" s="14">
        <v>79</v>
      </c>
      <c r="O45" s="14">
        <v>70</v>
      </c>
      <c r="P45" s="14">
        <v>60</v>
      </c>
      <c r="Q45" s="14">
        <v>52</v>
      </c>
      <c r="R45" s="14">
        <v>43</v>
      </c>
      <c r="S45" s="14">
        <v>34</v>
      </c>
      <c r="T45" s="14">
        <v>25</v>
      </c>
      <c r="U45" s="14">
        <v>17</v>
      </c>
      <c r="V45" s="14">
        <v>10</v>
      </c>
      <c r="W45" s="14">
        <v>4</v>
      </c>
    </row>
    <row r="46" spans="2:23" x14ac:dyDescent="0.25">
      <c r="B46" s="3">
        <v>43</v>
      </c>
      <c r="C46" s="14" t="s">
        <v>143</v>
      </c>
      <c r="D46" s="14">
        <v>596</v>
      </c>
      <c r="E46" s="14">
        <v>495</v>
      </c>
      <c r="F46" s="14">
        <v>412</v>
      </c>
      <c r="G46" s="14">
        <v>344</v>
      </c>
      <c r="H46" s="14">
        <v>289</v>
      </c>
      <c r="I46" s="14">
        <v>244</v>
      </c>
      <c r="J46" s="14">
        <v>208</v>
      </c>
      <c r="K46" s="14">
        <v>179</v>
      </c>
      <c r="L46" s="14">
        <v>155</v>
      </c>
      <c r="M46" s="14">
        <v>135</v>
      </c>
      <c r="N46" s="14">
        <v>118</v>
      </c>
      <c r="O46" s="14">
        <v>103</v>
      </c>
      <c r="P46" s="14">
        <v>90</v>
      </c>
      <c r="Q46" s="14">
        <v>77</v>
      </c>
      <c r="R46" s="14">
        <v>64</v>
      </c>
      <c r="S46" s="14">
        <v>51</v>
      </c>
      <c r="T46" s="14">
        <v>39</v>
      </c>
      <c r="U46" s="14">
        <v>27</v>
      </c>
      <c r="V46" s="14">
        <v>16</v>
      </c>
      <c r="W46" s="14">
        <v>7</v>
      </c>
    </row>
    <row r="47" spans="2:23" x14ac:dyDescent="0.25">
      <c r="B47" s="3">
        <v>44</v>
      </c>
      <c r="C47" s="14" t="s">
        <v>144</v>
      </c>
      <c r="D47" s="14">
        <v>490</v>
      </c>
      <c r="E47" s="14">
        <v>396</v>
      </c>
      <c r="F47" s="14">
        <v>320</v>
      </c>
      <c r="G47" s="14">
        <v>259</v>
      </c>
      <c r="H47" s="14">
        <v>211</v>
      </c>
      <c r="I47" s="14">
        <v>173</v>
      </c>
      <c r="J47" s="14">
        <v>144</v>
      </c>
      <c r="K47" s="14">
        <v>122</v>
      </c>
      <c r="L47" s="14">
        <v>105</v>
      </c>
      <c r="M47" s="14">
        <v>91</v>
      </c>
      <c r="N47" s="14">
        <v>80</v>
      </c>
      <c r="O47" s="14">
        <v>70</v>
      </c>
      <c r="P47" s="14">
        <v>61</v>
      </c>
      <c r="Q47" s="14">
        <v>52</v>
      </c>
      <c r="R47" s="14">
        <v>43</v>
      </c>
      <c r="S47" s="14">
        <v>34</v>
      </c>
      <c r="T47" s="14">
        <v>25</v>
      </c>
      <c r="U47" s="14">
        <v>17</v>
      </c>
      <c r="V47" s="14">
        <v>9</v>
      </c>
      <c r="W47" s="14">
        <v>3</v>
      </c>
    </row>
    <row r="48" spans="2:23" x14ac:dyDescent="0.25">
      <c r="B48" s="3">
        <v>45</v>
      </c>
      <c r="C48" s="14" t="s">
        <v>145</v>
      </c>
      <c r="D48" s="14">
        <v>552</v>
      </c>
      <c r="E48" s="14">
        <v>446</v>
      </c>
      <c r="F48" s="14">
        <v>362</v>
      </c>
      <c r="G48" s="14">
        <v>295</v>
      </c>
      <c r="H48" s="14">
        <v>243</v>
      </c>
      <c r="I48" s="14">
        <v>203</v>
      </c>
      <c r="J48" s="14">
        <v>172</v>
      </c>
      <c r="K48" s="14">
        <v>148</v>
      </c>
      <c r="L48" s="14">
        <v>130</v>
      </c>
      <c r="M48" s="14">
        <v>115</v>
      </c>
      <c r="N48" s="14">
        <v>102</v>
      </c>
      <c r="O48" s="14">
        <v>90</v>
      </c>
      <c r="P48" s="14">
        <v>79</v>
      </c>
      <c r="Q48" s="14">
        <v>67</v>
      </c>
      <c r="R48" s="14">
        <v>55</v>
      </c>
      <c r="S48" s="14">
        <v>43</v>
      </c>
      <c r="T48" s="14">
        <v>31</v>
      </c>
      <c r="U48" s="14">
        <v>20</v>
      </c>
      <c r="V48" s="14">
        <v>10</v>
      </c>
      <c r="W48" s="14">
        <v>3</v>
      </c>
    </row>
    <row r="49" spans="2:23" x14ac:dyDescent="0.25">
      <c r="B49" s="3">
        <v>46</v>
      </c>
      <c r="C49" s="14" t="s">
        <v>146</v>
      </c>
      <c r="D49" s="14">
        <v>580</v>
      </c>
      <c r="E49" s="14">
        <v>469</v>
      </c>
      <c r="F49" s="14">
        <v>379</v>
      </c>
      <c r="G49" s="14">
        <v>308</v>
      </c>
      <c r="H49" s="14">
        <v>253</v>
      </c>
      <c r="I49" s="14">
        <v>210</v>
      </c>
      <c r="J49" s="14">
        <v>176</v>
      </c>
      <c r="K49" s="14">
        <v>151</v>
      </c>
      <c r="L49" s="14">
        <v>131</v>
      </c>
      <c r="M49" s="14">
        <v>115</v>
      </c>
      <c r="N49" s="14">
        <v>101</v>
      </c>
      <c r="O49" s="14">
        <v>89</v>
      </c>
      <c r="P49" s="14">
        <v>78</v>
      </c>
      <c r="Q49" s="14">
        <v>67</v>
      </c>
      <c r="R49" s="14">
        <v>55</v>
      </c>
      <c r="S49" s="14">
        <v>44</v>
      </c>
      <c r="T49" s="14">
        <v>32</v>
      </c>
      <c r="U49" s="14">
        <v>21</v>
      </c>
      <c r="V49" s="14">
        <v>11</v>
      </c>
      <c r="W49" s="14">
        <v>4</v>
      </c>
    </row>
    <row r="50" spans="2:23" x14ac:dyDescent="0.25">
      <c r="B50" s="3">
        <v>47</v>
      </c>
      <c r="C50" s="14" t="s">
        <v>147</v>
      </c>
      <c r="D50" s="14">
        <v>595</v>
      </c>
      <c r="E50" s="14">
        <v>485</v>
      </c>
      <c r="F50" s="14">
        <v>397</v>
      </c>
      <c r="G50" s="14">
        <v>325</v>
      </c>
      <c r="H50" s="14">
        <v>269</v>
      </c>
      <c r="I50" s="14">
        <v>224</v>
      </c>
      <c r="J50" s="14">
        <v>189</v>
      </c>
      <c r="K50" s="14">
        <v>161</v>
      </c>
      <c r="L50" s="14">
        <v>140</v>
      </c>
      <c r="M50" s="14">
        <v>122</v>
      </c>
      <c r="N50" s="14">
        <v>107</v>
      </c>
      <c r="O50" s="14">
        <v>94</v>
      </c>
      <c r="P50" s="14">
        <v>82</v>
      </c>
      <c r="Q50" s="14">
        <v>70</v>
      </c>
      <c r="R50" s="14">
        <v>58</v>
      </c>
      <c r="S50" s="14">
        <v>46</v>
      </c>
      <c r="T50" s="14">
        <v>34</v>
      </c>
      <c r="U50" s="14">
        <v>22</v>
      </c>
      <c r="V50" s="14">
        <v>12</v>
      </c>
      <c r="W50" s="14">
        <v>4</v>
      </c>
    </row>
    <row r="51" spans="2:23" x14ac:dyDescent="0.25">
      <c r="B51" s="3">
        <v>48</v>
      </c>
      <c r="C51" s="14" t="s">
        <v>148</v>
      </c>
      <c r="D51" s="14">
        <v>627</v>
      </c>
      <c r="E51" s="14">
        <v>513</v>
      </c>
      <c r="F51" s="14">
        <v>421</v>
      </c>
      <c r="G51" s="14">
        <v>347</v>
      </c>
      <c r="H51" s="14">
        <v>288</v>
      </c>
      <c r="I51" s="14">
        <v>241</v>
      </c>
      <c r="J51" s="14">
        <v>205</v>
      </c>
      <c r="K51" s="14">
        <v>176</v>
      </c>
      <c r="L51" s="14">
        <v>153</v>
      </c>
      <c r="M51" s="14">
        <v>134</v>
      </c>
      <c r="N51" s="14">
        <v>118</v>
      </c>
      <c r="O51" s="14">
        <v>103</v>
      </c>
      <c r="P51" s="14">
        <v>90</v>
      </c>
      <c r="Q51" s="14">
        <v>76</v>
      </c>
      <c r="R51" s="14">
        <v>63</v>
      </c>
      <c r="S51" s="14">
        <v>49</v>
      </c>
      <c r="T51" s="14">
        <v>36</v>
      </c>
      <c r="U51" s="14">
        <v>23</v>
      </c>
      <c r="V51" s="14">
        <v>12</v>
      </c>
      <c r="W51" s="14">
        <v>3</v>
      </c>
    </row>
    <row r="52" spans="2:23" x14ac:dyDescent="0.25">
      <c r="B52" s="3">
        <v>49</v>
      </c>
      <c r="C52" s="14" t="s">
        <v>149</v>
      </c>
      <c r="D52" s="14">
        <v>664</v>
      </c>
      <c r="E52" s="14">
        <v>537</v>
      </c>
      <c r="F52" s="14">
        <v>436</v>
      </c>
      <c r="G52" s="14">
        <v>354</v>
      </c>
      <c r="H52" s="14">
        <v>290</v>
      </c>
      <c r="I52" s="14">
        <v>241</v>
      </c>
      <c r="J52" s="14">
        <v>202</v>
      </c>
      <c r="K52" s="14">
        <v>172</v>
      </c>
      <c r="L52" s="14">
        <v>149</v>
      </c>
      <c r="M52" s="14">
        <v>130</v>
      </c>
      <c r="N52" s="14">
        <v>114</v>
      </c>
      <c r="O52" s="14">
        <v>100</v>
      </c>
      <c r="P52" s="14">
        <v>87</v>
      </c>
      <c r="Q52" s="14">
        <v>74</v>
      </c>
      <c r="R52" s="14">
        <v>61</v>
      </c>
      <c r="S52" s="14">
        <v>48</v>
      </c>
      <c r="T52" s="14">
        <v>34</v>
      </c>
      <c r="U52" s="14">
        <v>22</v>
      </c>
      <c r="V52" s="14">
        <v>11</v>
      </c>
      <c r="W52" s="14">
        <v>2</v>
      </c>
    </row>
    <row r="53" spans="2:23" x14ac:dyDescent="0.25">
      <c r="B53" s="3">
        <v>50</v>
      </c>
      <c r="C53" s="14" t="s">
        <v>150</v>
      </c>
      <c r="D53" s="14">
        <v>485</v>
      </c>
      <c r="E53" s="14">
        <v>391</v>
      </c>
      <c r="F53" s="14">
        <v>315</v>
      </c>
      <c r="G53" s="14">
        <v>256</v>
      </c>
      <c r="H53" s="14">
        <v>210</v>
      </c>
      <c r="I53" s="14">
        <v>174</v>
      </c>
      <c r="J53" s="14">
        <v>147</v>
      </c>
      <c r="K53" s="14">
        <v>126</v>
      </c>
      <c r="L53" s="14">
        <v>110</v>
      </c>
      <c r="M53" s="14">
        <v>98</v>
      </c>
      <c r="N53" s="14">
        <v>87</v>
      </c>
      <c r="O53" s="14">
        <v>78</v>
      </c>
      <c r="P53" s="14">
        <v>69</v>
      </c>
      <c r="Q53" s="14">
        <v>60</v>
      </c>
      <c r="R53" s="14">
        <v>50</v>
      </c>
      <c r="S53" s="14">
        <v>41</v>
      </c>
      <c r="T53" s="14">
        <v>31</v>
      </c>
      <c r="U53" s="14">
        <v>22</v>
      </c>
      <c r="V53" s="14">
        <v>14</v>
      </c>
      <c r="W53" s="14">
        <v>8</v>
      </c>
    </row>
    <row r="54" spans="2:23" x14ac:dyDescent="0.25">
      <c r="B54" s="3">
        <v>51</v>
      </c>
      <c r="C54" s="14" t="s">
        <v>151</v>
      </c>
      <c r="D54" s="14">
        <v>498</v>
      </c>
      <c r="E54" s="14">
        <v>401</v>
      </c>
      <c r="F54" s="14">
        <v>324</v>
      </c>
      <c r="G54" s="14">
        <v>262</v>
      </c>
      <c r="H54" s="14">
        <v>213</v>
      </c>
      <c r="I54" s="14">
        <v>175</v>
      </c>
      <c r="J54" s="14">
        <v>146</v>
      </c>
      <c r="K54" s="14">
        <v>124</v>
      </c>
      <c r="L54" s="14">
        <v>107</v>
      </c>
      <c r="M54" s="14">
        <v>93</v>
      </c>
      <c r="N54" s="14">
        <v>82</v>
      </c>
      <c r="O54" s="14">
        <v>72</v>
      </c>
      <c r="P54" s="14">
        <v>63</v>
      </c>
      <c r="Q54" s="14">
        <v>53</v>
      </c>
      <c r="R54" s="14">
        <v>44</v>
      </c>
      <c r="S54" s="14">
        <v>35</v>
      </c>
      <c r="T54" s="14">
        <v>25</v>
      </c>
      <c r="U54" s="14">
        <v>16</v>
      </c>
      <c r="V54" s="14">
        <v>8</v>
      </c>
      <c r="W54" s="14">
        <v>2</v>
      </c>
    </row>
    <row r="55" spans="2:23" x14ac:dyDescent="0.25">
      <c r="B55" s="3">
        <v>52</v>
      </c>
      <c r="C55" s="14" t="s">
        <v>152</v>
      </c>
      <c r="D55" s="14">
        <v>284</v>
      </c>
      <c r="E55" s="14">
        <v>231</v>
      </c>
      <c r="F55" s="14">
        <v>187</v>
      </c>
      <c r="G55" s="14">
        <v>152</v>
      </c>
      <c r="H55" s="14">
        <v>124</v>
      </c>
      <c r="I55" s="14">
        <v>102</v>
      </c>
      <c r="J55" s="14">
        <v>84</v>
      </c>
      <c r="K55" s="14">
        <v>71</v>
      </c>
      <c r="L55" s="14">
        <v>60</v>
      </c>
      <c r="M55" s="14">
        <v>51</v>
      </c>
      <c r="N55" s="14">
        <v>45</v>
      </c>
      <c r="O55" s="14">
        <v>39</v>
      </c>
      <c r="P55" s="14">
        <v>34</v>
      </c>
      <c r="Q55" s="14">
        <v>29</v>
      </c>
      <c r="R55" s="14">
        <v>25</v>
      </c>
      <c r="S55" s="14">
        <v>20</v>
      </c>
      <c r="T55" s="14">
        <v>15</v>
      </c>
      <c r="U55" s="14">
        <v>11</v>
      </c>
      <c r="V55" s="14">
        <v>7</v>
      </c>
      <c r="W55" s="14">
        <v>3</v>
      </c>
    </row>
    <row r="56" spans="2:23" x14ac:dyDescent="0.25">
      <c r="B56" s="3">
        <v>53</v>
      </c>
      <c r="C56" s="14" t="s">
        <v>153</v>
      </c>
      <c r="D56" s="14">
        <v>499</v>
      </c>
      <c r="E56" s="14">
        <v>406</v>
      </c>
      <c r="F56" s="14">
        <v>331</v>
      </c>
      <c r="G56" s="14">
        <v>271</v>
      </c>
      <c r="H56" s="14">
        <v>223</v>
      </c>
      <c r="I56" s="14">
        <v>186</v>
      </c>
      <c r="J56" s="14">
        <v>157</v>
      </c>
      <c r="K56" s="14">
        <v>134</v>
      </c>
      <c r="L56" s="14">
        <v>116</v>
      </c>
      <c r="M56" s="14">
        <v>101</v>
      </c>
      <c r="N56" s="14">
        <v>89</v>
      </c>
      <c r="O56" s="14">
        <v>78</v>
      </c>
      <c r="P56" s="14">
        <v>68</v>
      </c>
      <c r="Q56" s="14">
        <v>58</v>
      </c>
      <c r="R56" s="14">
        <v>47</v>
      </c>
      <c r="S56" s="14">
        <v>37</v>
      </c>
      <c r="T56" s="14">
        <v>27</v>
      </c>
      <c r="U56" s="14">
        <v>17</v>
      </c>
      <c r="V56" s="14">
        <v>9</v>
      </c>
      <c r="W56" s="14">
        <v>2</v>
      </c>
    </row>
    <row r="57" spans="2:23" x14ac:dyDescent="0.25">
      <c r="B57" s="3">
        <v>54</v>
      </c>
      <c r="C57" s="14" t="s">
        <v>154</v>
      </c>
      <c r="D57" s="14">
        <v>412</v>
      </c>
      <c r="E57" s="14">
        <v>332</v>
      </c>
      <c r="F57" s="14">
        <v>269</v>
      </c>
      <c r="G57" s="14">
        <v>218</v>
      </c>
      <c r="H57" s="14">
        <v>179</v>
      </c>
      <c r="I57" s="14">
        <v>148</v>
      </c>
      <c r="J57" s="14">
        <v>125</v>
      </c>
      <c r="K57" s="14">
        <v>107</v>
      </c>
      <c r="L57" s="14">
        <v>93</v>
      </c>
      <c r="M57" s="14">
        <v>82</v>
      </c>
      <c r="N57" s="14">
        <v>73</v>
      </c>
      <c r="O57" s="14">
        <v>65</v>
      </c>
      <c r="P57" s="14">
        <v>57</v>
      </c>
      <c r="Q57" s="14">
        <v>49</v>
      </c>
      <c r="R57" s="14">
        <v>41</v>
      </c>
      <c r="S57" s="14">
        <v>33</v>
      </c>
      <c r="T57" s="14">
        <v>25</v>
      </c>
      <c r="U57" s="14">
        <v>17</v>
      </c>
      <c r="V57" s="14">
        <v>10</v>
      </c>
      <c r="W57" s="14">
        <v>5</v>
      </c>
    </row>
    <row r="58" spans="2:23" x14ac:dyDescent="0.25">
      <c r="B58" s="15">
        <v>55</v>
      </c>
      <c r="C58" s="14" t="s">
        <v>155</v>
      </c>
      <c r="D58" s="14">
        <v>430</v>
      </c>
      <c r="E58" s="14">
        <v>351</v>
      </c>
      <c r="F58" s="14">
        <v>286</v>
      </c>
      <c r="G58" s="14">
        <v>233</v>
      </c>
      <c r="H58" s="14">
        <v>191</v>
      </c>
      <c r="I58" s="14">
        <v>158</v>
      </c>
      <c r="J58" s="14">
        <v>132</v>
      </c>
      <c r="K58" s="14">
        <v>111</v>
      </c>
      <c r="L58" s="14">
        <v>95</v>
      </c>
      <c r="M58" s="14">
        <v>82</v>
      </c>
      <c r="N58" s="14">
        <v>71</v>
      </c>
      <c r="O58" s="14">
        <v>62</v>
      </c>
      <c r="P58" s="14">
        <v>54</v>
      </c>
      <c r="Q58" s="14">
        <v>46</v>
      </c>
      <c r="R58" s="14">
        <v>38</v>
      </c>
      <c r="S58" s="14">
        <v>30</v>
      </c>
      <c r="T58" s="14">
        <v>22</v>
      </c>
      <c r="U58" s="14">
        <v>14</v>
      </c>
      <c r="V58" s="14">
        <v>7</v>
      </c>
      <c r="W58" s="14">
        <v>1</v>
      </c>
    </row>
    <row r="59" spans="2:23" x14ac:dyDescent="0.25">
      <c r="B59" s="15">
        <v>56</v>
      </c>
      <c r="C59" s="14" t="s">
        <v>156</v>
      </c>
      <c r="D59" s="14">
        <v>352</v>
      </c>
      <c r="E59" s="14">
        <v>284</v>
      </c>
      <c r="F59" s="14">
        <v>230</v>
      </c>
      <c r="G59" s="14">
        <v>186</v>
      </c>
      <c r="H59" s="14">
        <v>151</v>
      </c>
      <c r="I59" s="14">
        <v>125</v>
      </c>
      <c r="J59" s="14">
        <v>104</v>
      </c>
      <c r="K59" s="14">
        <v>88</v>
      </c>
      <c r="L59" s="14">
        <v>75</v>
      </c>
      <c r="M59" s="14">
        <v>66</v>
      </c>
      <c r="N59" s="14">
        <v>58</v>
      </c>
      <c r="O59" s="14">
        <v>51</v>
      </c>
      <c r="P59" s="14">
        <v>45</v>
      </c>
      <c r="Q59" s="14">
        <v>39</v>
      </c>
      <c r="R59" s="14">
        <v>32</v>
      </c>
      <c r="S59" s="14">
        <v>26</v>
      </c>
      <c r="T59" s="14">
        <v>20</v>
      </c>
      <c r="U59" s="14">
        <v>14</v>
      </c>
      <c r="V59" s="14">
        <v>9</v>
      </c>
      <c r="W59" s="14">
        <v>5</v>
      </c>
    </row>
    <row r="60" spans="2:23" x14ac:dyDescent="0.25">
      <c r="B60" s="15">
        <v>57</v>
      </c>
      <c r="C60" s="14" t="s">
        <v>157</v>
      </c>
      <c r="D60" s="14">
        <v>687</v>
      </c>
      <c r="E60" s="14">
        <v>565</v>
      </c>
      <c r="F60" s="14">
        <v>465</v>
      </c>
      <c r="G60" s="14">
        <v>384</v>
      </c>
      <c r="H60" s="14">
        <v>318</v>
      </c>
      <c r="I60" s="14">
        <v>266</v>
      </c>
      <c r="J60" s="14">
        <v>224</v>
      </c>
      <c r="K60" s="14">
        <v>191</v>
      </c>
      <c r="L60" s="14">
        <v>164</v>
      </c>
      <c r="M60" s="14">
        <v>143</v>
      </c>
      <c r="N60" s="14">
        <v>124</v>
      </c>
      <c r="O60" s="14">
        <v>108</v>
      </c>
      <c r="P60" s="14">
        <v>93</v>
      </c>
      <c r="Q60" s="14">
        <v>79</v>
      </c>
      <c r="R60" s="14">
        <v>65</v>
      </c>
      <c r="S60" s="14">
        <v>51</v>
      </c>
      <c r="T60" s="14">
        <v>38</v>
      </c>
      <c r="U60" s="14">
        <v>24</v>
      </c>
      <c r="V60" s="14">
        <v>12</v>
      </c>
      <c r="W60" s="14">
        <v>2</v>
      </c>
    </row>
    <row r="61" spans="2:23" x14ac:dyDescent="0.25">
      <c r="B61" s="15">
        <v>58</v>
      </c>
      <c r="C61" s="14" t="s">
        <v>158</v>
      </c>
      <c r="D61" s="14">
        <v>558</v>
      </c>
      <c r="E61" s="14">
        <v>457</v>
      </c>
      <c r="F61" s="14">
        <v>374</v>
      </c>
      <c r="G61" s="14">
        <v>307</v>
      </c>
      <c r="H61" s="14">
        <v>253</v>
      </c>
      <c r="I61" s="14">
        <v>210</v>
      </c>
      <c r="J61" s="14">
        <v>176</v>
      </c>
      <c r="K61" s="14">
        <v>149</v>
      </c>
      <c r="L61" s="14">
        <v>127</v>
      </c>
      <c r="M61" s="14">
        <v>110</v>
      </c>
      <c r="N61" s="14">
        <v>95</v>
      </c>
      <c r="O61" s="14">
        <v>83</v>
      </c>
      <c r="P61" s="14">
        <v>71</v>
      </c>
      <c r="Q61" s="14">
        <v>60</v>
      </c>
      <c r="R61" s="14">
        <v>50</v>
      </c>
      <c r="S61" s="14">
        <v>39</v>
      </c>
      <c r="T61" s="14">
        <v>29</v>
      </c>
      <c r="U61" s="14">
        <v>19</v>
      </c>
      <c r="V61" s="14">
        <v>9</v>
      </c>
      <c r="W61" s="14">
        <v>1</v>
      </c>
    </row>
    <row r="62" spans="2:23" x14ac:dyDescent="0.25">
      <c r="B62" s="15">
        <v>59</v>
      </c>
      <c r="C62" s="14" t="s">
        <v>159</v>
      </c>
      <c r="D62" s="14">
        <v>1173</v>
      </c>
      <c r="E62" s="14">
        <v>987</v>
      </c>
      <c r="F62" s="14">
        <v>833</v>
      </c>
      <c r="G62" s="14">
        <v>706</v>
      </c>
      <c r="H62" s="14">
        <v>603</v>
      </c>
      <c r="I62" s="14">
        <v>518</v>
      </c>
      <c r="J62" s="14">
        <v>448</v>
      </c>
      <c r="K62" s="14">
        <v>391</v>
      </c>
      <c r="L62" s="14">
        <v>342</v>
      </c>
      <c r="M62" s="14">
        <v>301</v>
      </c>
      <c r="N62" s="14">
        <v>264</v>
      </c>
      <c r="O62" s="14">
        <v>230</v>
      </c>
      <c r="P62" s="14">
        <v>198</v>
      </c>
      <c r="Q62" s="14">
        <v>166</v>
      </c>
      <c r="R62" s="14">
        <v>136</v>
      </c>
      <c r="S62" s="14">
        <v>105</v>
      </c>
      <c r="T62" s="14">
        <v>76</v>
      </c>
      <c r="U62" s="14">
        <v>48</v>
      </c>
      <c r="V62" s="14">
        <v>22</v>
      </c>
      <c r="W62" s="14">
        <v>1</v>
      </c>
    </row>
    <row r="63" spans="2:23" x14ac:dyDescent="0.25">
      <c r="B63" s="15">
        <v>60</v>
      </c>
      <c r="C63" s="14" t="s">
        <v>160</v>
      </c>
      <c r="D63" s="14">
        <v>797</v>
      </c>
      <c r="E63" s="14">
        <v>663</v>
      </c>
      <c r="F63" s="14">
        <v>552</v>
      </c>
      <c r="G63" s="14">
        <v>462</v>
      </c>
      <c r="H63" s="14">
        <v>388</v>
      </c>
      <c r="I63" s="14">
        <v>328</v>
      </c>
      <c r="J63" s="14">
        <v>280</v>
      </c>
      <c r="K63" s="14">
        <v>241</v>
      </c>
      <c r="L63" s="14">
        <v>209</v>
      </c>
      <c r="M63" s="14">
        <v>182</v>
      </c>
      <c r="N63" s="14">
        <v>158</v>
      </c>
      <c r="O63" s="14">
        <v>138</v>
      </c>
      <c r="P63" s="14">
        <v>118</v>
      </c>
      <c r="Q63" s="14">
        <v>100</v>
      </c>
      <c r="R63" s="14">
        <v>82</v>
      </c>
      <c r="S63" s="14">
        <v>64</v>
      </c>
      <c r="T63" s="14">
        <v>47</v>
      </c>
      <c r="U63" s="14">
        <v>30</v>
      </c>
      <c r="V63" s="14">
        <v>15</v>
      </c>
      <c r="W63" s="14">
        <v>2</v>
      </c>
    </row>
    <row r="64" spans="2:23" x14ac:dyDescent="0.25">
      <c r="B64" s="15">
        <v>61</v>
      </c>
      <c r="C64" s="14" t="s">
        <v>161</v>
      </c>
      <c r="D64" s="14">
        <v>849</v>
      </c>
      <c r="E64" s="14">
        <v>702</v>
      </c>
      <c r="F64" s="14">
        <v>582</v>
      </c>
      <c r="G64" s="14">
        <v>484</v>
      </c>
      <c r="H64" s="14">
        <v>405</v>
      </c>
      <c r="I64" s="14">
        <v>341</v>
      </c>
      <c r="J64" s="14">
        <v>290</v>
      </c>
      <c r="K64" s="14">
        <v>250</v>
      </c>
      <c r="L64" s="14">
        <v>216</v>
      </c>
      <c r="M64" s="14">
        <v>189</v>
      </c>
      <c r="N64" s="14">
        <v>165</v>
      </c>
      <c r="O64" s="14">
        <v>144</v>
      </c>
      <c r="P64" s="14">
        <v>124</v>
      </c>
      <c r="Q64" s="14">
        <v>105</v>
      </c>
      <c r="R64" s="14">
        <v>86</v>
      </c>
      <c r="S64" s="14">
        <v>67</v>
      </c>
      <c r="T64" s="14">
        <v>48</v>
      </c>
      <c r="U64" s="14">
        <v>31</v>
      </c>
      <c r="V64" s="14">
        <v>15</v>
      </c>
      <c r="W64" s="14">
        <v>1</v>
      </c>
    </row>
    <row r="65" spans="2:23" x14ac:dyDescent="0.25">
      <c r="B65" s="15">
        <v>62</v>
      </c>
      <c r="C65" s="14" t="s">
        <v>162</v>
      </c>
      <c r="D65" s="14">
        <v>742</v>
      </c>
      <c r="E65" s="14">
        <v>615</v>
      </c>
      <c r="F65" s="14">
        <v>511</v>
      </c>
      <c r="G65" s="14">
        <v>426</v>
      </c>
      <c r="H65" s="14">
        <v>357</v>
      </c>
      <c r="I65" s="14">
        <v>301</v>
      </c>
      <c r="J65" s="14">
        <v>256</v>
      </c>
      <c r="K65" s="14">
        <v>220</v>
      </c>
      <c r="L65" s="14">
        <v>190</v>
      </c>
      <c r="M65" s="14">
        <v>165</v>
      </c>
      <c r="N65" s="14">
        <v>144</v>
      </c>
      <c r="O65" s="14">
        <v>125</v>
      </c>
      <c r="P65" s="14">
        <v>108</v>
      </c>
      <c r="Q65" s="14">
        <v>91</v>
      </c>
      <c r="R65" s="14">
        <v>75</v>
      </c>
      <c r="S65" s="14">
        <v>58</v>
      </c>
      <c r="T65" s="14">
        <v>43</v>
      </c>
      <c r="U65" s="14">
        <v>27</v>
      </c>
      <c r="V65" s="14">
        <v>13</v>
      </c>
      <c r="W65" s="14">
        <v>1</v>
      </c>
    </row>
    <row r="66" spans="2:23" x14ac:dyDescent="0.25">
      <c r="B66" s="15">
        <v>63</v>
      </c>
      <c r="C66" s="14" t="s">
        <v>163</v>
      </c>
      <c r="D66" s="14">
        <v>867</v>
      </c>
      <c r="E66" s="14">
        <v>716</v>
      </c>
      <c r="F66" s="14">
        <v>593</v>
      </c>
      <c r="G66" s="14">
        <v>493</v>
      </c>
      <c r="H66" s="14">
        <v>413</v>
      </c>
      <c r="I66" s="14">
        <v>349</v>
      </c>
      <c r="J66" s="14">
        <v>298</v>
      </c>
      <c r="K66" s="14">
        <v>258</v>
      </c>
      <c r="L66" s="14">
        <v>224</v>
      </c>
      <c r="M66" s="14">
        <v>197</v>
      </c>
      <c r="N66" s="14">
        <v>173</v>
      </c>
      <c r="O66" s="14">
        <v>151</v>
      </c>
      <c r="P66" s="14">
        <v>130</v>
      </c>
      <c r="Q66" s="14">
        <v>110</v>
      </c>
      <c r="R66" s="14">
        <v>90</v>
      </c>
      <c r="S66" s="14">
        <v>70</v>
      </c>
      <c r="T66" s="14">
        <v>51</v>
      </c>
      <c r="U66" s="14">
        <v>32</v>
      </c>
      <c r="V66" s="14">
        <v>15</v>
      </c>
      <c r="W66" s="14">
        <v>2</v>
      </c>
    </row>
    <row r="67" spans="2:23" x14ac:dyDescent="0.25">
      <c r="B67" s="15">
        <v>64</v>
      </c>
      <c r="C67" s="14" t="s">
        <v>164</v>
      </c>
      <c r="D67" s="14">
        <v>708</v>
      </c>
      <c r="E67" s="14">
        <v>593</v>
      </c>
      <c r="F67" s="14">
        <v>497</v>
      </c>
      <c r="G67" s="14">
        <v>418</v>
      </c>
      <c r="H67" s="14">
        <v>353</v>
      </c>
      <c r="I67" s="14">
        <v>301</v>
      </c>
      <c r="J67" s="14">
        <v>257</v>
      </c>
      <c r="K67" s="14">
        <v>222</v>
      </c>
      <c r="L67" s="14">
        <v>193</v>
      </c>
      <c r="M67" s="14">
        <v>168</v>
      </c>
      <c r="N67" s="14">
        <v>146</v>
      </c>
      <c r="O67" s="14">
        <v>127</v>
      </c>
      <c r="P67" s="14">
        <v>109</v>
      </c>
      <c r="Q67" s="14">
        <v>92</v>
      </c>
      <c r="R67" s="14">
        <v>76</v>
      </c>
      <c r="S67" s="14">
        <v>59</v>
      </c>
      <c r="T67" s="14">
        <v>43</v>
      </c>
      <c r="U67" s="14">
        <v>28</v>
      </c>
      <c r="V67" s="14">
        <v>14</v>
      </c>
      <c r="W67" s="14">
        <v>2</v>
      </c>
    </row>
    <row r="68" spans="2:23" x14ac:dyDescent="0.25">
      <c r="B68" s="15">
        <v>65</v>
      </c>
      <c r="C68" s="14" t="s">
        <v>165</v>
      </c>
      <c r="D68" s="14">
        <v>1156</v>
      </c>
      <c r="E68" s="14">
        <v>964</v>
      </c>
      <c r="F68" s="14">
        <v>807</v>
      </c>
      <c r="G68" s="14">
        <v>679</v>
      </c>
      <c r="H68" s="14">
        <v>575</v>
      </c>
      <c r="I68" s="14">
        <v>492</v>
      </c>
      <c r="J68" s="14">
        <v>424</v>
      </c>
      <c r="K68" s="14">
        <v>369</v>
      </c>
      <c r="L68" s="14">
        <v>324</v>
      </c>
      <c r="M68" s="14">
        <v>285</v>
      </c>
      <c r="N68" s="14">
        <v>250</v>
      </c>
      <c r="O68" s="14">
        <v>219</v>
      </c>
      <c r="P68" s="14">
        <v>189</v>
      </c>
      <c r="Q68" s="14">
        <v>159</v>
      </c>
      <c r="R68" s="14">
        <v>130</v>
      </c>
      <c r="S68" s="14">
        <v>101</v>
      </c>
      <c r="T68" s="14">
        <v>72</v>
      </c>
      <c r="U68" s="14">
        <v>46</v>
      </c>
      <c r="V68" s="14">
        <v>22</v>
      </c>
      <c r="W68" s="14">
        <v>2</v>
      </c>
    </row>
    <row r="69" spans="2:23" x14ac:dyDescent="0.25">
      <c r="B69" s="15">
        <v>66</v>
      </c>
      <c r="C69" s="14" t="s">
        <v>166</v>
      </c>
      <c r="D69" s="14">
        <v>1045</v>
      </c>
      <c r="E69" s="14">
        <v>874</v>
      </c>
      <c r="F69" s="14">
        <v>734</v>
      </c>
      <c r="G69" s="14">
        <v>618</v>
      </c>
      <c r="H69" s="14">
        <v>525</v>
      </c>
      <c r="I69" s="14">
        <v>448</v>
      </c>
      <c r="J69" s="14">
        <v>386</v>
      </c>
      <c r="K69" s="14">
        <v>335</v>
      </c>
      <c r="L69" s="14">
        <v>293</v>
      </c>
      <c r="M69" s="14">
        <v>257</v>
      </c>
      <c r="N69" s="14">
        <v>225</v>
      </c>
      <c r="O69" s="14">
        <v>197</v>
      </c>
      <c r="P69" s="14">
        <v>169</v>
      </c>
      <c r="Q69" s="14">
        <v>143</v>
      </c>
      <c r="R69" s="14">
        <v>117</v>
      </c>
      <c r="S69" s="14">
        <v>91</v>
      </c>
      <c r="T69" s="14">
        <v>66</v>
      </c>
      <c r="U69" s="14">
        <v>42</v>
      </c>
      <c r="V69" s="14">
        <v>20</v>
      </c>
      <c r="W69" s="14">
        <v>2</v>
      </c>
    </row>
    <row r="70" spans="2:23" x14ac:dyDescent="0.25">
      <c r="B70" s="15">
        <v>67</v>
      </c>
      <c r="C70" s="14" t="s">
        <v>167</v>
      </c>
      <c r="D70" s="14">
        <v>668</v>
      </c>
      <c r="E70" s="14">
        <v>554</v>
      </c>
      <c r="F70" s="14">
        <v>460</v>
      </c>
      <c r="G70" s="14">
        <v>384</v>
      </c>
      <c r="H70" s="14">
        <v>322</v>
      </c>
      <c r="I70" s="14">
        <v>273</v>
      </c>
      <c r="J70" s="14">
        <v>233</v>
      </c>
      <c r="K70" s="14">
        <v>201</v>
      </c>
      <c r="L70" s="14">
        <v>175</v>
      </c>
      <c r="M70" s="14">
        <v>153</v>
      </c>
      <c r="N70" s="14">
        <v>133</v>
      </c>
      <c r="O70" s="14">
        <v>116</v>
      </c>
      <c r="P70" s="14">
        <v>100</v>
      </c>
      <c r="Q70" s="14">
        <v>85</v>
      </c>
      <c r="R70" s="14">
        <v>69</v>
      </c>
      <c r="S70" s="14">
        <v>54</v>
      </c>
      <c r="T70" s="14">
        <v>39</v>
      </c>
      <c r="U70" s="14">
        <v>24</v>
      </c>
      <c r="V70" s="14">
        <v>11</v>
      </c>
      <c r="W70" s="14">
        <v>0</v>
      </c>
    </row>
    <row r="71" spans="2:23" x14ac:dyDescent="0.25">
      <c r="B71" s="15">
        <v>68</v>
      </c>
      <c r="C71" s="14" t="s">
        <v>168</v>
      </c>
      <c r="D71" s="14">
        <v>1048</v>
      </c>
      <c r="E71" s="14">
        <v>867</v>
      </c>
      <c r="F71" s="14">
        <v>719</v>
      </c>
      <c r="G71" s="14">
        <v>600</v>
      </c>
      <c r="H71" s="14">
        <v>505</v>
      </c>
      <c r="I71" s="14">
        <v>428</v>
      </c>
      <c r="J71" s="14">
        <v>367</v>
      </c>
      <c r="K71" s="14">
        <v>318</v>
      </c>
      <c r="L71" s="14">
        <v>278</v>
      </c>
      <c r="M71" s="14">
        <v>245</v>
      </c>
      <c r="N71" s="14">
        <v>215</v>
      </c>
      <c r="O71" s="14">
        <v>188</v>
      </c>
      <c r="P71" s="14">
        <v>162</v>
      </c>
      <c r="Q71" s="14">
        <v>137</v>
      </c>
      <c r="R71" s="14">
        <v>112</v>
      </c>
      <c r="S71" s="14">
        <v>86</v>
      </c>
      <c r="T71" s="14">
        <v>61</v>
      </c>
      <c r="U71" s="14">
        <v>38</v>
      </c>
      <c r="V71" s="14">
        <v>17</v>
      </c>
      <c r="W71" s="14">
        <v>0</v>
      </c>
    </row>
    <row r="72" spans="2:23" x14ac:dyDescent="0.25">
      <c r="B72" s="15">
        <v>69</v>
      </c>
      <c r="C72" s="14" t="s">
        <v>169</v>
      </c>
      <c r="D72" s="14">
        <v>1471</v>
      </c>
      <c r="E72" s="14">
        <v>1238</v>
      </c>
      <c r="F72" s="14">
        <v>1045</v>
      </c>
      <c r="G72" s="14">
        <v>888</v>
      </c>
      <c r="H72" s="14">
        <v>759</v>
      </c>
      <c r="I72" s="14">
        <v>655</v>
      </c>
      <c r="J72" s="14">
        <v>569</v>
      </c>
      <c r="K72" s="14">
        <v>499</v>
      </c>
      <c r="L72" s="14">
        <v>439</v>
      </c>
      <c r="M72" s="14">
        <v>387</v>
      </c>
      <c r="N72" s="14">
        <v>341</v>
      </c>
      <c r="O72" s="14">
        <v>298</v>
      </c>
      <c r="P72" s="14">
        <v>257</v>
      </c>
      <c r="Q72" s="14">
        <v>216</v>
      </c>
      <c r="R72" s="14">
        <v>176</v>
      </c>
      <c r="S72" s="14">
        <v>136</v>
      </c>
      <c r="T72" s="14">
        <v>98</v>
      </c>
      <c r="U72" s="14">
        <v>61</v>
      </c>
      <c r="V72" s="14">
        <v>28</v>
      </c>
      <c r="W72" s="14">
        <v>1</v>
      </c>
    </row>
  </sheetData>
  <customSheetViews>
    <customSheetView guid="{E57EC305-7DFD-421A-BB34-3221A8A7CE7D}">
      <selection activeCell="AE21" sqref="AE21"/>
      <pageMargins left="0.7" right="0.7" top="0.75" bottom="0.75" header="0.3" footer="0.3"/>
      <pageSetup paperSize="254" orientation="portrait" r:id="rId1"/>
    </customSheetView>
    <customSheetView guid="{63FDFA20-8B8F-4388-AE98-CEF9EC3DA1CE}" state="hidden">
      <pane ySplit="3" topLeftCell="A4" activePane="bottomLeft" state="frozen"/>
      <selection pane="bottomLeft" activeCell="AE16" sqref="AE16"/>
      <pageMargins left="0.7" right="0.7" top="0.75" bottom="0.75" header="0.3" footer="0.3"/>
      <pageSetup paperSize="254" orientation="portrait" r:id="rId2"/>
    </customSheetView>
  </customSheetViews>
  <mergeCells count="3">
    <mergeCell ref="D2:W2"/>
    <mergeCell ref="C2:C3"/>
    <mergeCell ref="B2:B3"/>
  </mergeCells>
  <pageMargins left="0.7" right="0.7" top="0.75" bottom="0.75" header="0.3" footer="0.3"/>
  <pageSetup paperSize="254"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Change Log</vt:lpstr>
      <vt:lpstr>Disclaimer</vt:lpstr>
      <vt:lpstr>16A Prescriptive Commercial</vt:lpstr>
      <vt:lpstr>16B Prescriptive Residential</vt:lpstr>
      <vt:lpstr>16C NABERS Energy</vt:lpstr>
      <vt:lpstr>16B Reference Fitout</vt:lpstr>
      <vt:lpstr>Multiple Path Calcs</vt:lpstr>
      <vt:lpstr>Synthetic GHG</vt:lpstr>
      <vt:lpstr>Reference</vt:lpstr>
      <vt:lpstr>Beca List of changes</vt:lpstr>
      <vt:lpstr>ACStarRating</vt:lpstr>
      <vt:lpstr>BldgCapacity</vt:lpstr>
      <vt:lpstr>ComfortControl</vt:lpstr>
      <vt:lpstr>ContractTerm</vt:lpstr>
      <vt:lpstr>DHWFuel</vt:lpstr>
      <vt:lpstr>Fuels</vt:lpstr>
      <vt:lpstr>GeoGHGFactor</vt:lpstr>
      <vt:lpstr>GeoLocation</vt:lpstr>
      <vt:lpstr>NatHERSStar</vt:lpstr>
      <vt:lpstr>NatHERSZone</vt:lpstr>
      <vt:lpstr>Option</vt:lpstr>
      <vt:lpstr>OptionNA</vt:lpstr>
      <vt:lpstr>OptNA</vt:lpstr>
      <vt:lpstr>'16C NABERS Energy'!Print_Area</vt:lpstr>
      <vt:lpstr>SynthGHGRate</vt:lpstr>
      <vt:lpstr>SynthGHGSource</vt:lpstr>
    </vt:vector>
  </TitlesOfParts>
  <Company>Norman Disney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richardj</dc:creator>
  <cp:lastModifiedBy>Ting Li</cp:lastModifiedBy>
  <cp:lastPrinted>2014-10-29T02:51:14Z</cp:lastPrinted>
  <dcterms:created xsi:type="dcterms:W3CDTF">2014-02-17T05:28:52Z</dcterms:created>
  <dcterms:modified xsi:type="dcterms:W3CDTF">2021-05-19T02:25:34Z</dcterms:modified>
</cp:coreProperties>
</file>