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tables/table4.xml" ContentType="application/vnd.openxmlformats-officedocument.spreadsheetml.table+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03"/>
  <workbookPr showInkAnnotation="0" codeName="ThisWorkbook"/>
  <mc:AlternateContent xmlns:mc="http://schemas.openxmlformats.org/markup-compatibility/2006">
    <mc:Choice Requires="x15">
      <x15ac:absPath xmlns:x15ac="http://schemas.microsoft.com/office/spreadsheetml/2010/11/ac" url="https://nzgbc.sharepoint.com/sites/GreenStarTeamSite/Performance/Shared Documents/02_Performance_Tech/01 Tools &amp; Calculators/Bulk upload templates/NZGBC templates/"/>
    </mc:Choice>
  </mc:AlternateContent>
  <xr:revisionPtr revIDLastSave="0" documentId="8_{9C93B722-3BA4-4C93-8B0C-236C9E392BA9}" xr6:coauthVersionLast="47" xr6:coauthVersionMax="47" xr10:uidLastSave="{00000000-0000-0000-0000-000000000000}"/>
  <workbookProtection workbookAlgorithmName="SHA-512" workbookHashValue="umQ9RWYrPRyriYxTUJr9Q68L1HVXu5Y2+3gIMLWeEEl2DcY0tVQaO2ZjfKvzVvHPwrYWrmL4LTSyZ4n7Hw3evA==" workbookSaltValue="VR7cL0IQ7OYwWeyPIEEtHA==" workbookSpinCount="100000" lockStructure="1"/>
  <bookViews>
    <workbookView xWindow="28680" yWindow="-120" windowWidth="29040" windowHeight="15720" tabRatio="785" firstSheet="6" activeTab="6" xr2:uid="{407625CA-6B11-4FB7-BB91-615982B2ABF1}"/>
  </bookViews>
  <sheets>
    <sheet name="Disclaimer" sheetId="1" state="hidden" r:id="rId1"/>
    <sheet name="Change Log" sheetId="2" state="hidden" r:id="rId2"/>
    <sheet name="Instructions" sheetId="3" state="hidden" r:id="rId3"/>
    <sheet name="15A NABERS Energy Simple" sheetId="4" state="hidden" r:id="rId4"/>
    <sheet name="15A NABERS Energy Detailed" sheetId="5" state="hidden" r:id="rId5"/>
    <sheet name="Calculator Information" sheetId="13" r:id="rId6"/>
    <sheet name="15B Portfolio Calculator" sheetId="9" r:id="rId7"/>
    <sheet name="Pathway B benchmarks" sheetId="12" state="hidden" r:id="rId8"/>
    <sheet name="Carbon Neutral Summary" sheetId="7" state="hidden" r:id="rId9"/>
    <sheet name="15A Detailed Pathway" sheetId="11" state="hidden" r:id="rId10"/>
    <sheet name="AGO Emission Factors" sheetId="6" state="hidden" r:id="rId11"/>
    <sheet name="Points Table" sheetId="8" r:id="rId12"/>
  </sheets>
  <externalReferences>
    <externalReference r:id="rId13"/>
  </externalReferences>
  <definedNames>
    <definedName name="_xlnm._FilterDatabase" localSheetId="9" hidden="1">'15A Detailed Pathway'!$B$8:$E$8</definedName>
    <definedName name="_xlnm._FilterDatabase" localSheetId="6" hidden="1">'15B Portfolio Calculator'!$B$5:$E$5</definedName>
    <definedName name="ANZSIC" localSheetId="8">'[1]AGO Emission Factors'!$A$157:$A$175</definedName>
    <definedName name="ANZSIC">'AGO Emission Factors'!$B$159:$B$177</definedName>
    <definedName name="BldUse" localSheetId="9">#REF!</definedName>
    <definedName name="BldUse" localSheetId="6">#REF!</definedName>
    <definedName name="BldUse" localSheetId="8">'[1]AGO Emission Factors'!$A$111:$A$154</definedName>
    <definedName name="BldUse">'AGO Emission Factors'!$B$113:$B$156</definedName>
    <definedName name="FunctionalUses" localSheetId="9">#REF!</definedName>
    <definedName name="FunctionalUses" localSheetId="6">#REF!</definedName>
    <definedName name="FunctionalUses">'[1]15B Baseline Tables'!$A$71:$A$96</definedName>
    <definedName name="Metro" localSheetId="8">'[1]AGO Emission Factors'!$C$7:$C$8</definedName>
    <definedName name="Metro">'AGO Emission Factors'!$D$7:$D$8</definedName>
    <definedName name="RatingType" localSheetId="9">#REF!</definedName>
    <definedName name="RatingType" localSheetId="6">#REF!</definedName>
    <definedName name="RatingType" localSheetId="8">'[1]AGO Emission Factors'!$E$7:$E$8</definedName>
    <definedName name="RatingType">'AGO Emission Factors'!$G$7:$G$8</definedName>
    <definedName name="STATES" localSheetId="9">#REF!</definedName>
    <definedName name="STATES" localSheetId="6">#REF!</definedName>
    <definedName name="STATES" localSheetId="8">'[1]AGO Emission Factors'!$A$34:$A$42</definedName>
    <definedName name="STATES">'AGO Emission Factors'!$B$37:$B$44</definedName>
    <definedName name="truefalse" localSheetId="8">'[1]AGO Emission Factors'!$A$178:$A$180</definedName>
    <definedName name="truefalse">'AGO Emission Factors'!$B$180:$B$182</definedName>
    <definedName name="yesno">'AGO Emission Factors'!$B$185:$B$187</definedName>
    <definedName name="YN">'AGO Emission Factors'!$B$7:$B$8</definedName>
    <definedName name="Z_0AA775FA_F8A9_4D24_AA12_2EE4A0C4B54A_.wvu.Cols" localSheetId="8" hidden="1">'Carbon Neutral Summary'!$L:$XFD</definedName>
    <definedName name="Z_0AA775FA_F8A9_4D24_AA12_2EE4A0C4B54A_.wvu.Cols" localSheetId="11" hidden="1">'Points Table'!$J:$XFD</definedName>
    <definedName name="Z_0AA775FA_F8A9_4D24_AA12_2EE4A0C4B54A_.wvu.Rows" localSheetId="10" hidden="1">'AGO Emission Factors'!$12:$111</definedName>
    <definedName name="Z_0AA775FA_F8A9_4D24_AA12_2EE4A0C4B54A_.wvu.Rows" localSheetId="1" hidden="1">'Change Log'!$25:$274</definedName>
    <definedName name="Z_0AA775FA_F8A9_4D24_AA12_2EE4A0C4B54A_.wvu.Rows" localSheetId="11" hidden="1">'Points Table'!$74:$1048576,'Points Table'!$65:$71</definedName>
    <definedName name="Z_3BAF3D14_B16A_4103_B9D6_D1D9B6381E90_.wvu.Cols" localSheetId="8" hidden="1">'Carbon Neutral Summary'!$L:$XFD</definedName>
    <definedName name="Z_693EBD7D_AE81_4642_BB20_D90B339CE02F_.wvu.Cols" localSheetId="8" hidden="1">'Carbon Neutral Summary'!$L:$XFD</definedName>
    <definedName name="Z_693EBD7D_AE81_4642_BB20_D90B339CE02F_.wvu.Cols" localSheetId="11" hidden="1">'Points Table'!$J:$XFD</definedName>
    <definedName name="Z_693EBD7D_AE81_4642_BB20_D90B339CE02F_.wvu.Rows" localSheetId="4" hidden="1">'15A NABERS Energy Detailed'!$112:$153</definedName>
    <definedName name="Z_693EBD7D_AE81_4642_BB20_D90B339CE02F_.wvu.Rows" localSheetId="3" hidden="1">'15A NABERS Energy Simple'!$100:$145</definedName>
    <definedName name="Z_693EBD7D_AE81_4642_BB20_D90B339CE02F_.wvu.Rows" localSheetId="10" hidden="1">'AGO Emission Factors'!$12:$111</definedName>
    <definedName name="Z_693EBD7D_AE81_4642_BB20_D90B339CE02F_.wvu.Rows" localSheetId="8" hidden="1">'Carbon Neutral Summary'!$42:$82</definedName>
    <definedName name="Z_693EBD7D_AE81_4642_BB20_D90B339CE02F_.wvu.Rows" localSheetId="1" hidden="1">'Change Log'!$24:$366</definedName>
    <definedName name="Z_693EBD7D_AE81_4642_BB20_D90B339CE02F_.wvu.Rows" localSheetId="11" hidden="1">'Points Table'!$74:$1048576,'Points Table'!$65:$71</definedName>
    <definedName name="Z_8B2770CE_D161_47F0_859F_125AE657BDD5_.wvu.Cols" localSheetId="8" hidden="1">'Carbon Neutral Summary'!$L:$XFD</definedName>
    <definedName name="Z_8B2770CE_D161_47F0_859F_125AE657BDD5_.wvu.Rows" localSheetId="4" hidden="1">'15A NABERS Energy Detailed'!$112:$153</definedName>
    <definedName name="Z_8B2770CE_D161_47F0_859F_125AE657BDD5_.wvu.Rows" localSheetId="3" hidden="1">'15A NABERS Energy Simple'!$100:$145</definedName>
    <definedName name="Z_8B2770CE_D161_47F0_859F_125AE657BDD5_.wvu.Rows" localSheetId="8" hidden="1">'Carbon Neutral Summary'!$42:$82</definedName>
    <definedName name="Z_8B2770CE_D161_47F0_859F_125AE657BDD5_.wvu.Rows" localSheetId="1" hidden="1">'Change Log'!$25:$427</definedName>
    <definedName name="Z_8B2770CE_D161_47F0_859F_125AE657BDD5_.wvu.Rows" localSheetId="11" hidden="1">'Points Table'!$65:$71</definedName>
    <definedName name="Z_E06C82F7_4BAD_4D00_99B9_78356C6407C1_.wvu.Cols" localSheetId="4" hidden="1">'15A NABERS Energy Detailed'!$K:$P</definedName>
    <definedName name="Z_E06C82F7_4BAD_4D00_99B9_78356C6407C1_.wvu.Cols" localSheetId="3" hidden="1">'15A NABERS Energy Simple'!$K:$P</definedName>
    <definedName name="Z_E06C82F7_4BAD_4D00_99B9_78356C6407C1_.wvu.Cols" localSheetId="8" hidden="1">'Carbon Neutral Summary'!$L:$XFD</definedName>
    <definedName name="Z_E06C82F7_4BAD_4D00_99B9_78356C6407C1_.wvu.Cols" localSheetId="11" hidden="1">'Points Table'!$J:$XFD</definedName>
    <definedName name="Z_E06C82F7_4BAD_4D00_99B9_78356C6407C1_.wvu.Rows" localSheetId="10" hidden="1">'AGO Emission Factors'!$12:$111</definedName>
    <definedName name="Z_E06C82F7_4BAD_4D00_99B9_78356C6407C1_.wvu.Rows" localSheetId="11" hidden="1">'Points Table'!$74:$1048576,'Points Table'!$65:$71</definedName>
    <definedName name="Z_F1CAFB27_0D4C_4982_A367_458EC793250D_.wvu.Cols" localSheetId="4" hidden="1">'15A NABERS Energy Detailed'!$K:$P</definedName>
    <definedName name="Z_F1CAFB27_0D4C_4982_A367_458EC793250D_.wvu.Cols" localSheetId="3" hidden="1">'15A NABERS Energy Simple'!$K:$P</definedName>
    <definedName name="Z_F1CAFB27_0D4C_4982_A367_458EC793250D_.wvu.Cols" localSheetId="8" hidden="1">'Carbon Neutral Summary'!$L:$XFD</definedName>
    <definedName name="Z_F1CAFB27_0D4C_4982_A367_458EC793250D_.wvu.Cols" localSheetId="11" hidden="1">'Points Table'!$J:$XFD</definedName>
    <definedName name="Z_F1CAFB27_0D4C_4982_A367_458EC793250D_.wvu.Rows" localSheetId="10" hidden="1">'AGO Emission Factors'!$12:$111</definedName>
    <definedName name="Z_F1CAFB27_0D4C_4982_A367_458EC793250D_.wvu.Rows" localSheetId="8" hidden="1">'Carbon Neutral Summary'!$65:$66</definedName>
    <definedName name="Z_F1CAFB27_0D4C_4982_A367_458EC793250D_.wvu.Rows" localSheetId="11" hidden="1">'Points Table'!$74:$1048576,'Points Table'!$65:$71</definedName>
  </definedNames>
  <calcPr calcId="191028"/>
  <customWorkbookViews>
    <customWorkbookView name="Edwin Chu - Personal View" guid="{8B2770CE-D161-47F0-859F-125AE657BDD5}" mergeInterval="0" personalView="1" maximized="1" xWindow="-8" yWindow="-8" windowWidth="1936" windowHeight="1056" tabRatio="785" activeSheetId="2"/>
    <customWorkbookView name="Deejan Ferrao - Personal View" guid="{693EBD7D-AE81-4642-BB20-D90B339CE02F}" mergeInterval="0" personalView="1" maximized="1" xWindow="1912" yWindow="-8" windowWidth="1936" windowHeight="1056" tabRatio="734" activeSheetId="2"/>
    <customWorkbookView name="Ulises Cervantes - Personal View" guid="{E06C82F7-4BAD-4D00-99B9-78356C6407C1}" mergeInterval="0" personalView="1" maximized="1" xWindow="-8" yWindow="-8" windowWidth="1936" windowHeight="1176" tabRatio="734" activeSheetId="4"/>
    <customWorkbookView name="Francisca Joyce - Personal View" guid="{F1CAFB27-0D4C-4982-A367-458EC793250D}" mergeInterval="0" personalView="1" maximized="1" xWindow="-8" yWindow="-8" windowWidth="1936" windowHeight="1176" tabRatio="734" activeSheetId="7"/>
    <customWorkbookView name="Simon Ng - Personal View" guid="{0AA775FA-F8A9-4D24-AA12-2EE4A0C4B54A}" mergeInterval="0" personalView="1" maximized="1" xWindow="-8" yWindow="-8" windowWidth="1296" windowHeight="776" tabRatio="734"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7" i="9" l="1"/>
  <c r="AF79" i="9" a="1"/>
  <c r="AF79" i="9" s="1"/>
  <c r="AF48" i="9" a="1"/>
  <c r="AF48" i="9" s="1"/>
  <c r="AF21" i="9" a="1"/>
  <c r="AF21" i="9" s="1"/>
  <c r="AT84" i="9" a="1"/>
  <c r="AT84" i="9" s="1"/>
  <c r="AT53" i="9" a="1"/>
  <c r="AT53" i="9" s="1"/>
  <c r="AT32" i="9" a="1"/>
  <c r="AT32" i="9" s="1"/>
  <c r="AT15" i="9" a="1"/>
  <c r="AT15" i="9" s="1"/>
  <c r="AS107" i="9"/>
  <c r="AS106" i="9"/>
  <c r="AS105" i="9"/>
  <c r="AS104" i="9"/>
  <c r="AS103" i="9"/>
  <c r="AS102" i="9"/>
  <c r="AS101" i="9"/>
  <c r="AS100" i="9"/>
  <c r="AS99" i="9"/>
  <c r="AS98" i="9"/>
  <c r="AS97" i="9"/>
  <c r="AS96" i="9"/>
  <c r="AS95" i="9"/>
  <c r="AS94" i="9"/>
  <c r="AS93" i="9"/>
  <c r="AS92" i="9"/>
  <c r="AS91" i="9"/>
  <c r="AS90" i="9"/>
  <c r="AS89" i="9"/>
  <c r="AS88" i="9"/>
  <c r="AS87" i="9"/>
  <c r="AS86" i="9"/>
  <c r="AS85" i="9"/>
  <c r="AS84" i="9"/>
  <c r="AS83" i="9"/>
  <c r="AS82" i="9"/>
  <c r="AS81" i="9"/>
  <c r="AS80" i="9"/>
  <c r="AS79" i="9"/>
  <c r="AS78" i="9"/>
  <c r="AS77" i="9"/>
  <c r="AS76" i="9"/>
  <c r="AS75" i="9"/>
  <c r="AS74" i="9"/>
  <c r="AS73" i="9"/>
  <c r="AS72" i="9"/>
  <c r="AS71" i="9"/>
  <c r="AS70" i="9"/>
  <c r="AS69" i="9"/>
  <c r="AS68" i="9"/>
  <c r="AS67" i="9"/>
  <c r="AS66" i="9"/>
  <c r="AS65" i="9"/>
  <c r="AS64" i="9"/>
  <c r="AS63" i="9"/>
  <c r="AS62" i="9"/>
  <c r="AS61" i="9"/>
  <c r="AS46" i="9"/>
  <c r="AS45" i="9"/>
  <c r="AS60" i="9"/>
  <c r="AS59" i="9"/>
  <c r="AS58" i="9"/>
  <c r="AS57" i="9"/>
  <c r="AS56" i="9"/>
  <c r="AS55" i="9"/>
  <c r="AS54" i="9"/>
  <c r="AS53" i="9"/>
  <c r="AS52" i="9"/>
  <c r="AS51" i="9"/>
  <c r="AS50" i="9"/>
  <c r="AS49" i="9"/>
  <c r="AS48" i="9"/>
  <c r="AS47" i="9"/>
  <c r="AS44" i="9"/>
  <c r="AS43" i="9"/>
  <c r="AS42" i="9"/>
  <c r="AS41" i="9"/>
  <c r="AS40" i="9"/>
  <c r="AS39" i="9"/>
  <c r="AS38" i="9"/>
  <c r="AS37" i="9"/>
  <c r="AS36" i="9"/>
  <c r="AS35" i="9"/>
  <c r="AS34" i="9"/>
  <c r="AS33" i="9"/>
  <c r="AS32" i="9"/>
  <c r="AS31" i="9"/>
  <c r="AS30" i="9"/>
  <c r="AS29" i="9"/>
  <c r="AS28" i="9"/>
  <c r="AS27" i="9"/>
  <c r="AS26" i="9"/>
  <c r="AS25" i="9"/>
  <c r="AS24" i="9"/>
  <c r="AS23" i="9"/>
  <c r="AS22" i="9"/>
  <c r="AS21" i="9"/>
  <c r="AS20" i="9"/>
  <c r="AS19" i="9"/>
  <c r="AS18" i="9"/>
  <c r="AS17" i="9"/>
  <c r="AS16" i="9"/>
  <c r="AS15" i="9"/>
  <c r="AS14" i="9"/>
  <c r="AS13" i="9"/>
  <c r="AS12" i="9"/>
  <c r="AS11" i="9"/>
  <c r="AS10" i="9"/>
  <c r="AS9" i="9"/>
  <c r="AS8" i="9"/>
  <c r="AM73" i="9" a="1"/>
  <c r="AM73" i="9" s="1"/>
  <c r="AM13" i="9" a="1"/>
  <c r="AM13" i="9" s="1"/>
  <c r="AL107" i="9"/>
  <c r="AL106" i="9"/>
  <c r="AL105" i="9"/>
  <c r="AL104" i="9"/>
  <c r="AL103" i="9"/>
  <c r="AL102" i="9"/>
  <c r="AL101" i="9"/>
  <c r="AL100" i="9"/>
  <c r="AL99" i="9"/>
  <c r="AL98" i="9"/>
  <c r="AL97" i="9"/>
  <c r="AL96" i="9"/>
  <c r="AL95" i="9"/>
  <c r="AL94" i="9"/>
  <c r="AL93" i="9"/>
  <c r="AL92" i="9"/>
  <c r="AL91" i="9"/>
  <c r="AL90" i="9"/>
  <c r="AL89" i="9"/>
  <c r="AL88" i="9"/>
  <c r="AL87" i="9"/>
  <c r="AL86" i="9"/>
  <c r="AL85" i="9"/>
  <c r="AL84" i="9"/>
  <c r="AL83" i="9"/>
  <c r="AL82" i="9"/>
  <c r="AL81" i="9"/>
  <c r="AL80" i="9"/>
  <c r="AL79" i="9"/>
  <c r="AL78" i="9"/>
  <c r="AL77" i="9"/>
  <c r="AL76" i="9"/>
  <c r="AL75" i="9"/>
  <c r="AL74" i="9"/>
  <c r="AL73" i="9"/>
  <c r="AL72" i="9"/>
  <c r="AL71" i="9"/>
  <c r="AL70" i="9"/>
  <c r="AL69" i="9"/>
  <c r="AL68" i="9"/>
  <c r="AL67" i="9"/>
  <c r="AL66" i="9"/>
  <c r="AL65" i="9"/>
  <c r="AL64" i="9"/>
  <c r="AL63" i="9"/>
  <c r="AL62" i="9"/>
  <c r="AL61" i="9"/>
  <c r="AL60" i="9"/>
  <c r="AL59" i="9"/>
  <c r="AL58" i="9"/>
  <c r="AL57" i="9"/>
  <c r="AL56" i="9"/>
  <c r="AL55" i="9"/>
  <c r="AL54" i="9"/>
  <c r="AL53" i="9"/>
  <c r="AL52" i="9"/>
  <c r="AL51" i="9"/>
  <c r="AL50" i="9"/>
  <c r="AL49" i="9"/>
  <c r="AL48" i="9"/>
  <c r="AL47" i="9"/>
  <c r="AL46" i="9"/>
  <c r="AL45" i="9"/>
  <c r="AL44" i="9"/>
  <c r="AL43" i="9"/>
  <c r="AL42" i="9"/>
  <c r="AL41" i="9"/>
  <c r="AL40" i="9"/>
  <c r="AL39" i="9"/>
  <c r="AL38" i="9"/>
  <c r="AL37" i="9"/>
  <c r="AL36" i="9"/>
  <c r="AL35" i="9"/>
  <c r="AL34" i="9"/>
  <c r="AL33" i="9"/>
  <c r="AL32" i="9"/>
  <c r="AL31" i="9"/>
  <c r="AL30" i="9"/>
  <c r="AL29" i="9"/>
  <c r="AL28" i="9"/>
  <c r="AL27" i="9"/>
  <c r="AL26" i="9"/>
  <c r="AL25" i="9"/>
  <c r="AL24" i="9"/>
  <c r="AL23" i="9"/>
  <c r="AL22" i="9"/>
  <c r="AL21" i="9"/>
  <c r="AL20" i="9"/>
  <c r="AL19" i="9"/>
  <c r="AL18" i="9"/>
  <c r="AL17" i="9"/>
  <c r="AL16" i="9"/>
  <c r="AL15" i="9"/>
  <c r="AL14" i="9"/>
  <c r="AL13" i="9"/>
  <c r="AL12" i="9"/>
  <c r="AL11" i="9"/>
  <c r="AL10" i="9"/>
  <c r="AL9" i="9"/>
  <c r="AL8" i="9"/>
  <c r="AL7" i="9"/>
  <c r="AE107" i="9"/>
  <c r="AE106" i="9"/>
  <c r="AE105" i="9"/>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E18" i="9"/>
  <c r="AE17" i="9"/>
  <c r="AE16" i="9"/>
  <c r="AE15" i="9"/>
  <c r="AE14" i="9"/>
  <c r="AE13" i="9"/>
  <c r="AE12" i="9"/>
  <c r="L7" i="9"/>
  <c r="L8" i="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M7" i="9"/>
  <c r="AM7" i="9" s="1" a="1"/>
  <c r="AM7" i="9" s="1"/>
  <c r="M8" i="9"/>
  <c r="Y8" i="9" s="1" a="1"/>
  <c r="Y8" i="9" s="1"/>
  <c r="M9" i="9"/>
  <c r="Y9" i="9" s="1" a="1"/>
  <c r="Y9" i="9" s="1"/>
  <c r="M10" i="9"/>
  <c r="Y10" i="9" s="1" a="1"/>
  <c r="Y10" i="9" s="1"/>
  <c r="M11" i="9"/>
  <c r="AF11" i="9" s="1" a="1"/>
  <c r="AF11" i="9" s="1"/>
  <c r="M12" i="9"/>
  <c r="Y12" i="9" s="1" a="1"/>
  <c r="Y12" i="9" s="1"/>
  <c r="M13" i="9"/>
  <c r="AF13" i="9" s="1" a="1"/>
  <c r="AF13" i="9" s="1"/>
  <c r="M14" i="9"/>
  <c r="Y14" i="9" s="1" a="1"/>
  <c r="Y14" i="9" s="1"/>
  <c r="M15" i="9"/>
  <c r="AM15" i="9" s="1" a="1"/>
  <c r="AM15" i="9" s="1"/>
  <c r="M16" i="9"/>
  <c r="Y16" i="9" s="1" a="1"/>
  <c r="Y16" i="9" s="1"/>
  <c r="M17" i="9"/>
  <c r="Y17" i="9" s="1" a="1"/>
  <c r="Y17" i="9" s="1"/>
  <c r="M18" i="9"/>
  <c r="Y18" i="9" s="1" a="1"/>
  <c r="Y18" i="9" s="1"/>
  <c r="M19" i="9"/>
  <c r="AF19" i="9" s="1" a="1"/>
  <c r="AF19" i="9" s="1"/>
  <c r="M20" i="9"/>
  <c r="Y20" i="9" s="1" a="1"/>
  <c r="Y20" i="9" s="1"/>
  <c r="M21" i="9"/>
  <c r="Y21" i="9" s="1" a="1"/>
  <c r="Y21" i="9" s="1"/>
  <c r="M22" i="9"/>
  <c r="Y22" i="9" s="1" a="1"/>
  <c r="Y22" i="9" s="1"/>
  <c r="M23" i="9"/>
  <c r="Y23" i="9" s="1" a="1"/>
  <c r="Y23" i="9" s="1"/>
  <c r="M24" i="9"/>
  <c r="Y24" i="9" s="1" a="1"/>
  <c r="Y24" i="9" s="1"/>
  <c r="M25" i="9"/>
  <c r="Y25" i="9" s="1" a="1"/>
  <c r="Y25" i="9" s="1"/>
  <c r="M26" i="9"/>
  <c r="Y26" i="9" s="1" a="1"/>
  <c r="Y26" i="9" s="1"/>
  <c r="M27" i="9"/>
  <c r="Y27" i="9" s="1" a="1"/>
  <c r="Y27" i="9" s="1"/>
  <c r="M28" i="9"/>
  <c r="Y28" i="9" s="1" a="1"/>
  <c r="Y28" i="9" s="1"/>
  <c r="M29" i="9"/>
  <c r="Y29" i="9" s="1" a="1"/>
  <c r="Y29" i="9" s="1"/>
  <c r="M30" i="9"/>
  <c r="Y30" i="9" s="1" a="1"/>
  <c r="Y30" i="9" s="1"/>
  <c r="M31" i="9"/>
  <c r="Y31" i="9" s="1" a="1"/>
  <c r="Y31" i="9" s="1"/>
  <c r="M32" i="9"/>
  <c r="Y32" i="9" s="1" a="1"/>
  <c r="Y32" i="9" s="1"/>
  <c r="M33" i="9"/>
  <c r="Y33" i="9" s="1" a="1"/>
  <c r="Y33" i="9" s="1"/>
  <c r="M34" i="9"/>
  <c r="Y34" i="9" s="1" a="1"/>
  <c r="Y34" i="9" s="1"/>
  <c r="M35" i="9"/>
  <c r="Y35" i="9" s="1" a="1"/>
  <c r="Y35" i="9" s="1"/>
  <c r="M36" i="9"/>
  <c r="Y36" i="9" s="1" a="1"/>
  <c r="Y36" i="9" s="1"/>
  <c r="M37" i="9"/>
  <c r="Y37" i="9" s="1" a="1"/>
  <c r="Y37" i="9" s="1"/>
  <c r="M38" i="9"/>
  <c r="Y38" i="9" s="1" a="1"/>
  <c r="Y38" i="9" s="1"/>
  <c r="M39" i="9"/>
  <c r="Y39" i="9" s="1" a="1"/>
  <c r="Y39" i="9" s="1"/>
  <c r="M40" i="9"/>
  <c r="Y40" i="9" s="1" a="1"/>
  <c r="Y40" i="9" s="1"/>
  <c r="M41" i="9"/>
  <c r="Y41" i="9" s="1" a="1"/>
  <c r="Y41" i="9" s="1"/>
  <c r="M42" i="9"/>
  <c r="Y42" i="9" s="1" a="1"/>
  <c r="Y42" i="9" s="1"/>
  <c r="M43" i="9"/>
  <c r="Y43" i="9" s="1" a="1"/>
  <c r="Y43" i="9" s="1"/>
  <c r="M44" i="9"/>
  <c r="Y44" i="9" s="1" a="1"/>
  <c r="Y44" i="9" s="1"/>
  <c r="M45" i="9"/>
  <c r="Y45" i="9" s="1" a="1"/>
  <c r="Y45" i="9" s="1"/>
  <c r="M46" i="9"/>
  <c r="Y46" i="9" s="1" a="1"/>
  <c r="Y46" i="9" s="1"/>
  <c r="M47" i="9"/>
  <c r="Y47" i="9" s="1" a="1"/>
  <c r="Y47" i="9" s="1"/>
  <c r="M48" i="9"/>
  <c r="Y48" i="9" s="1" a="1"/>
  <c r="Y48" i="9" s="1"/>
  <c r="M49" i="9"/>
  <c r="Y49" i="9" s="1" a="1"/>
  <c r="Y49" i="9" s="1"/>
  <c r="M50" i="9"/>
  <c r="Y50" i="9" s="1" a="1"/>
  <c r="Y50" i="9" s="1"/>
  <c r="M51" i="9"/>
  <c r="Y51" i="9" s="1" a="1"/>
  <c r="Y51" i="9" s="1"/>
  <c r="M52" i="9"/>
  <c r="Y52" i="9" s="1" a="1"/>
  <c r="Y52" i="9" s="1"/>
  <c r="M53" i="9"/>
  <c r="Y53" i="9" s="1" a="1"/>
  <c r="Y53" i="9" s="1"/>
  <c r="M54" i="9"/>
  <c r="Y54" i="9" s="1" a="1"/>
  <c r="Y54" i="9" s="1"/>
  <c r="M55" i="9"/>
  <c r="Y55" i="9" s="1" a="1"/>
  <c r="Y55" i="9" s="1"/>
  <c r="M56" i="9"/>
  <c r="Y56" i="9" s="1" a="1"/>
  <c r="Y56" i="9" s="1"/>
  <c r="M57" i="9"/>
  <c r="Y57" i="9" s="1" a="1"/>
  <c r="Y57" i="9" s="1"/>
  <c r="M58" i="9"/>
  <c r="Y58" i="9" s="1" a="1"/>
  <c r="Y58" i="9" s="1"/>
  <c r="M59" i="9"/>
  <c r="Y59" i="9" s="1" a="1"/>
  <c r="Y59" i="9" s="1"/>
  <c r="M60" i="9"/>
  <c r="Y60" i="9" s="1" a="1"/>
  <c r="Y60" i="9" s="1"/>
  <c r="M61" i="9"/>
  <c r="Y61" i="9" s="1" a="1"/>
  <c r="Y61" i="9" s="1"/>
  <c r="M62" i="9"/>
  <c r="Y62" i="9" s="1" a="1"/>
  <c r="Y62" i="9" s="1"/>
  <c r="M63" i="9"/>
  <c r="Y63" i="9" s="1" a="1"/>
  <c r="Y63" i="9" s="1"/>
  <c r="M64" i="9"/>
  <c r="Y64" i="9" s="1" a="1"/>
  <c r="Y64" i="9" s="1"/>
  <c r="M65" i="9"/>
  <c r="Y65" i="9" s="1" a="1"/>
  <c r="Y65" i="9" s="1"/>
  <c r="M66" i="9"/>
  <c r="Y66" i="9" s="1" a="1"/>
  <c r="Y66" i="9" s="1"/>
  <c r="M67" i="9"/>
  <c r="Y67" i="9" s="1" a="1"/>
  <c r="Y67" i="9" s="1"/>
  <c r="M68" i="9"/>
  <c r="Y68" i="9" s="1" a="1"/>
  <c r="Y68" i="9" s="1"/>
  <c r="M69" i="9"/>
  <c r="Y69" i="9" s="1" a="1"/>
  <c r="Y69" i="9" s="1"/>
  <c r="M70" i="9"/>
  <c r="Y70" i="9" s="1" a="1"/>
  <c r="Y70" i="9" s="1"/>
  <c r="M71" i="9"/>
  <c r="Y71" i="9" s="1" a="1"/>
  <c r="Y71" i="9" s="1"/>
  <c r="M72" i="9"/>
  <c r="Y72" i="9" s="1" a="1"/>
  <c r="Y72" i="9" s="1"/>
  <c r="M73" i="9"/>
  <c r="Y73" i="9" s="1" a="1"/>
  <c r="Y73" i="9" s="1"/>
  <c r="M74" i="9"/>
  <c r="Y74" i="9" s="1" a="1"/>
  <c r="Y74" i="9" s="1"/>
  <c r="M75" i="9"/>
  <c r="Y75" i="9" s="1" a="1"/>
  <c r="Y75" i="9" s="1"/>
  <c r="M76" i="9"/>
  <c r="Y76" i="9" s="1" a="1"/>
  <c r="Y76" i="9" s="1"/>
  <c r="M77" i="9"/>
  <c r="Y77" i="9" s="1" a="1"/>
  <c r="Y77" i="9" s="1"/>
  <c r="M78" i="9"/>
  <c r="Y78" i="9" s="1" a="1"/>
  <c r="Y78" i="9" s="1"/>
  <c r="M79" i="9"/>
  <c r="Y79" i="9" s="1" a="1"/>
  <c r="Y79" i="9" s="1"/>
  <c r="M80" i="9"/>
  <c r="Y80" i="9" s="1" a="1"/>
  <c r="Y80" i="9" s="1"/>
  <c r="M81" i="9"/>
  <c r="Y81" i="9" s="1" a="1"/>
  <c r="Y81" i="9" s="1"/>
  <c r="M82" i="9"/>
  <c r="Y82" i="9" s="1" a="1"/>
  <c r="Y82" i="9" s="1"/>
  <c r="M83" i="9"/>
  <c r="Y83" i="9" s="1" a="1"/>
  <c r="Y83" i="9" s="1"/>
  <c r="M84" i="9"/>
  <c r="Y84" i="9" s="1" a="1"/>
  <c r="Y84" i="9" s="1"/>
  <c r="M85" i="9"/>
  <c r="Y85" i="9" s="1" a="1"/>
  <c r="Y85" i="9" s="1"/>
  <c r="M86" i="9"/>
  <c r="Y86" i="9" s="1" a="1"/>
  <c r="Y86" i="9" s="1"/>
  <c r="M87" i="9"/>
  <c r="Y87" i="9" s="1" a="1"/>
  <c r="Y87" i="9" s="1"/>
  <c r="M88" i="9"/>
  <c r="Y88" i="9" s="1" a="1"/>
  <c r="Y88" i="9" s="1"/>
  <c r="M89" i="9"/>
  <c r="Y89" i="9" s="1" a="1"/>
  <c r="Y89" i="9" s="1"/>
  <c r="M90" i="9"/>
  <c r="Y90" i="9" s="1" a="1"/>
  <c r="Y90" i="9" s="1"/>
  <c r="M91" i="9"/>
  <c r="Y91" i="9" s="1" a="1"/>
  <c r="Y91" i="9" s="1"/>
  <c r="M92" i="9"/>
  <c r="Y92" i="9" s="1" a="1"/>
  <c r="Y92" i="9" s="1"/>
  <c r="M93" i="9"/>
  <c r="AM93" i="9" s="1" a="1"/>
  <c r="AM93" i="9" s="1"/>
  <c r="M94" i="9"/>
  <c r="Y94" i="9" s="1" a="1"/>
  <c r="Y94" i="9" s="1"/>
  <c r="M95" i="9"/>
  <c r="Y95" i="9" s="1" a="1"/>
  <c r="Y95" i="9" s="1"/>
  <c r="M96" i="9"/>
  <c r="Y96" i="9" s="1" a="1"/>
  <c r="Y96" i="9" s="1"/>
  <c r="M97" i="9"/>
  <c r="Y97" i="9" s="1" a="1"/>
  <c r="Y97" i="9" s="1"/>
  <c r="M98" i="9"/>
  <c r="Y98" i="9" s="1" a="1"/>
  <c r="Y98" i="9" s="1"/>
  <c r="M99" i="9"/>
  <c r="Y99" i="9" s="1" a="1"/>
  <c r="Y99" i="9" s="1"/>
  <c r="M100" i="9"/>
  <c r="Y100" i="9" s="1" a="1"/>
  <c r="Y100" i="9" s="1"/>
  <c r="M101" i="9"/>
  <c r="AM101" i="9" s="1" a="1"/>
  <c r="AM101" i="9" s="1"/>
  <c r="M102" i="9"/>
  <c r="Y102" i="9" s="1" a="1"/>
  <c r="Y102" i="9" s="1"/>
  <c r="M103" i="9"/>
  <c r="Y103" i="9" s="1" a="1"/>
  <c r="Y103" i="9" s="1"/>
  <c r="M104" i="9"/>
  <c r="Y104" i="9" s="1" a="1"/>
  <c r="Y104" i="9" s="1"/>
  <c r="M105" i="9"/>
  <c r="Y105" i="9" s="1" a="1"/>
  <c r="Y105" i="9" s="1"/>
  <c r="M106" i="9"/>
  <c r="Y106" i="9" s="1" a="1"/>
  <c r="Y106" i="9" s="1"/>
  <c r="M107" i="9"/>
  <c r="Y107" i="9" s="1" a="1"/>
  <c r="Y107" i="9" s="1"/>
  <c r="AM81" i="9" l="1" a="1"/>
  <c r="AM81" i="9" s="1"/>
  <c r="AT56" i="9" a="1"/>
  <c r="AT56" i="9" s="1"/>
  <c r="AT87" i="9" a="1"/>
  <c r="AT87" i="9" s="1"/>
  <c r="AF53" i="9" a="1"/>
  <c r="AF53" i="9" s="1"/>
  <c r="AF84" i="9" a="1"/>
  <c r="AF84" i="9" s="1"/>
  <c r="Y93" i="9" a="1"/>
  <c r="Y93" i="9" s="1"/>
  <c r="AM89" i="9" a="1"/>
  <c r="AM89" i="9" s="1"/>
  <c r="AT61" i="9" a="1"/>
  <c r="AT61" i="9" s="1"/>
  <c r="AT91" i="9" a="1"/>
  <c r="AT91" i="9" s="1"/>
  <c r="AF56" i="9" a="1"/>
  <c r="AF56" i="9" s="1"/>
  <c r="AF87" i="9" a="1"/>
  <c r="AF87" i="9" s="1"/>
  <c r="AM98" i="9" a="1"/>
  <c r="AM98" i="9" s="1"/>
  <c r="AT64" i="9" a="1"/>
  <c r="AT64" i="9" s="1"/>
  <c r="AT99" i="9" a="1"/>
  <c r="AT99" i="9" s="1"/>
  <c r="AF61" i="9" a="1"/>
  <c r="AF61" i="9" s="1"/>
  <c r="AF92" i="9" a="1"/>
  <c r="AF92" i="9" s="1"/>
  <c r="AM43" i="9" a="1"/>
  <c r="AM43" i="9" s="1"/>
  <c r="AM104" i="9" a="1"/>
  <c r="AM104" i="9" s="1"/>
  <c r="AT69" i="9" a="1"/>
  <c r="AT69" i="9" s="1"/>
  <c r="AT107" i="9" a="1"/>
  <c r="AT107" i="9" s="1"/>
  <c r="AF64" i="9" a="1"/>
  <c r="AF64" i="9" s="1"/>
  <c r="AF95" i="9" a="1"/>
  <c r="AF95" i="9" s="1"/>
  <c r="AM50" i="9" a="1"/>
  <c r="AM50" i="9" s="1"/>
  <c r="AM106" i="9" a="1"/>
  <c r="AM106" i="9" s="1"/>
  <c r="AT40" i="9" a="1"/>
  <c r="AT40" i="9" s="1"/>
  <c r="AT72" i="9" a="1"/>
  <c r="AT72" i="9" s="1"/>
  <c r="AF69" i="9" a="1"/>
  <c r="AF69" i="9" s="1"/>
  <c r="AF100" i="9" a="1"/>
  <c r="AF100" i="9" s="1"/>
  <c r="AM58" i="9" a="1"/>
  <c r="AM58" i="9" s="1"/>
  <c r="AT45" i="9" a="1"/>
  <c r="AT45" i="9" s="1"/>
  <c r="AT77" i="9" a="1"/>
  <c r="AT77" i="9" s="1"/>
  <c r="AF40" i="9" a="1"/>
  <c r="AF40" i="9" s="1"/>
  <c r="AF72" i="9" a="1"/>
  <c r="AF72" i="9" s="1"/>
  <c r="AF103" i="9" a="1"/>
  <c r="AF103" i="9" s="1"/>
  <c r="AM65" i="9" a="1"/>
  <c r="AM65" i="9" s="1"/>
  <c r="AT48" i="9" a="1"/>
  <c r="AT48" i="9" s="1"/>
  <c r="AT80" i="9" a="1"/>
  <c r="AT80" i="9" s="1"/>
  <c r="AF45" i="9" a="1"/>
  <c r="AF45" i="9" s="1"/>
  <c r="AF76" i="9" a="1"/>
  <c r="AF76" i="9" s="1"/>
  <c r="AT37" i="9" a="1"/>
  <c r="AT37" i="9" s="1"/>
  <c r="AM29" i="9" a="1"/>
  <c r="AM29" i="9" s="1"/>
  <c r="AF29" i="9" a="1"/>
  <c r="AF29" i="9" s="1"/>
  <c r="AM35" i="9" a="1"/>
  <c r="AM35" i="9" s="1"/>
  <c r="AF32" i="9" a="1"/>
  <c r="AF32" i="9" s="1"/>
  <c r="AM37" i="9" a="1"/>
  <c r="AM37" i="9" s="1"/>
  <c r="AF37" i="9" a="1"/>
  <c r="AF37" i="9" s="1"/>
  <c r="AT29" i="9" a="1"/>
  <c r="AT29" i="9" s="1"/>
  <c r="AT31" i="9" a="1"/>
  <c r="AT31" i="9" s="1"/>
  <c r="AT21" i="9" a="1"/>
  <c r="AT21" i="9" s="1"/>
  <c r="AF24" i="9" a="1"/>
  <c r="AF24" i="9" s="1"/>
  <c r="AT23" i="9" a="1"/>
  <c r="AT23" i="9" s="1"/>
  <c r="AM19" i="9" a="1"/>
  <c r="AM19" i="9" s="1"/>
  <c r="AT24" i="9" a="1"/>
  <c r="AT24" i="9" s="1"/>
  <c r="AM21" i="9" a="1"/>
  <c r="AM21" i="9" s="1"/>
  <c r="AM27" i="9" a="1"/>
  <c r="AM27" i="9" s="1"/>
  <c r="AT8" i="9" a="1"/>
  <c r="AT8" i="9" s="1"/>
  <c r="AF16" i="9" a="1"/>
  <c r="AF16" i="9" s="1"/>
  <c r="Y11" i="9" a="1"/>
  <c r="Y11" i="9" s="1"/>
  <c r="AM11" i="9" a="1"/>
  <c r="AM11" i="9" s="1"/>
  <c r="AT13" i="9" a="1"/>
  <c r="AT13" i="9" s="1"/>
  <c r="Y13" i="9" a="1"/>
  <c r="Y13" i="9" s="1"/>
  <c r="AT16" i="9" a="1"/>
  <c r="AT16" i="9" s="1"/>
  <c r="AF8" i="9" a="1"/>
  <c r="AF8" i="9" s="1"/>
  <c r="Y7" i="9" a="1"/>
  <c r="Y7" i="9" s="1"/>
  <c r="Y101" i="9" a="1"/>
  <c r="Y101" i="9" s="1"/>
  <c r="AM12" i="9" a="1"/>
  <c r="AM12" i="9" s="1"/>
  <c r="AM20" i="9" a="1"/>
  <c r="AM20" i="9" s="1"/>
  <c r="AM28" i="9" a="1"/>
  <c r="AM28" i="9" s="1"/>
  <c r="AM36" i="9" a="1"/>
  <c r="AM36" i="9" s="1"/>
  <c r="AM44" i="9" a="1"/>
  <c r="AM44" i="9" s="1"/>
  <c r="AM51" i="9" a="1"/>
  <c r="AM51" i="9" s="1"/>
  <c r="AM59" i="9" a="1"/>
  <c r="AM59" i="9" s="1"/>
  <c r="AM66" i="9" a="1"/>
  <c r="AM66" i="9" s="1"/>
  <c r="AM74" i="9" a="1"/>
  <c r="AM74" i="9" s="1"/>
  <c r="AM82" i="9" a="1"/>
  <c r="AM82" i="9" s="1"/>
  <c r="AM90" i="9" a="1"/>
  <c r="AM90" i="9" s="1"/>
  <c r="AM97" i="9" a="1"/>
  <c r="AM97" i="9" s="1"/>
  <c r="AM105" i="9" a="1"/>
  <c r="AM105" i="9" s="1"/>
  <c r="AT7" i="9" a="1"/>
  <c r="AT7" i="9" s="1"/>
  <c r="AT14" i="9" a="1"/>
  <c r="AT14" i="9" s="1"/>
  <c r="AT22" i="9" a="1"/>
  <c r="AT22" i="9" s="1"/>
  <c r="AT30" i="9" a="1"/>
  <c r="AT30" i="9" s="1"/>
  <c r="AT38" i="9" a="1"/>
  <c r="AT38" i="9" s="1"/>
  <c r="AT46" i="9" a="1"/>
  <c r="AT46" i="9" s="1"/>
  <c r="AT54" i="9" a="1"/>
  <c r="AT54" i="9" s="1"/>
  <c r="AT62" i="9" a="1"/>
  <c r="AT62" i="9" s="1"/>
  <c r="AT70" i="9" a="1"/>
  <c r="AT70" i="9" s="1"/>
  <c r="AT78" i="9" a="1"/>
  <c r="AT78" i="9" s="1"/>
  <c r="AT85" i="9" a="1"/>
  <c r="AT85" i="9" s="1"/>
  <c r="AT92" i="9" a="1"/>
  <c r="AT92" i="9" s="1"/>
  <c r="AT100" i="9" a="1"/>
  <c r="AT100" i="9" s="1"/>
  <c r="AF7" i="9" a="1"/>
  <c r="AF7" i="9" s="1"/>
  <c r="AF14" i="9" a="1"/>
  <c r="AF14" i="9" s="1"/>
  <c r="AF22" i="9" a="1"/>
  <c r="AF22" i="9" s="1"/>
  <c r="AF30" i="9" a="1"/>
  <c r="AF30" i="9" s="1"/>
  <c r="AF38" i="9" a="1"/>
  <c r="AF38" i="9" s="1"/>
  <c r="AF46" i="9" a="1"/>
  <c r="AF46" i="9" s="1"/>
  <c r="AF54" i="9" a="1"/>
  <c r="AF54" i="9" s="1"/>
  <c r="AF62" i="9" a="1"/>
  <c r="AF62" i="9" s="1"/>
  <c r="AF70" i="9" a="1"/>
  <c r="AF70" i="9" s="1"/>
  <c r="AF77" i="9" a="1"/>
  <c r="AF77" i="9" s="1"/>
  <c r="AF85" i="9" a="1"/>
  <c r="AF85" i="9" s="1"/>
  <c r="AF93" i="9" a="1"/>
  <c r="AF93" i="9" s="1"/>
  <c r="AF101" i="9" a="1"/>
  <c r="AF101" i="9" s="1"/>
  <c r="AM45" i="9" a="1"/>
  <c r="AM45" i="9" s="1"/>
  <c r="AM52" i="9" a="1"/>
  <c r="AM52" i="9" s="1"/>
  <c r="AM60" i="9" a="1"/>
  <c r="AM60" i="9" s="1"/>
  <c r="AM67" i="9" a="1"/>
  <c r="AM67" i="9" s="1"/>
  <c r="AM75" i="9" a="1"/>
  <c r="AM75" i="9" s="1"/>
  <c r="AM83" i="9" a="1"/>
  <c r="AM83" i="9" s="1"/>
  <c r="AM91" i="9" a="1"/>
  <c r="AM91" i="9" s="1"/>
  <c r="AT39" i="9" a="1"/>
  <c r="AT39" i="9" s="1"/>
  <c r="AT47" i="9" a="1"/>
  <c r="AT47" i="9" s="1"/>
  <c r="AT55" i="9" a="1"/>
  <c r="AT55" i="9" s="1"/>
  <c r="AT63" i="9" a="1"/>
  <c r="AT63" i="9" s="1"/>
  <c r="AT71" i="9" a="1"/>
  <c r="AT71" i="9" s="1"/>
  <c r="AT79" i="9" a="1"/>
  <c r="AT79" i="9" s="1"/>
  <c r="AT86" i="9" a="1"/>
  <c r="AT86" i="9" s="1"/>
  <c r="AT93" i="9" a="1"/>
  <c r="AT93" i="9" s="1"/>
  <c r="AT101" i="9" a="1"/>
  <c r="AT101" i="9" s="1"/>
  <c r="AF15" i="9" a="1"/>
  <c r="AF15" i="9" s="1"/>
  <c r="AF23" i="9" a="1"/>
  <c r="AF23" i="9" s="1"/>
  <c r="AF31" i="9" a="1"/>
  <c r="AF31" i="9" s="1"/>
  <c r="AF39" i="9" a="1"/>
  <c r="AF39" i="9" s="1"/>
  <c r="AF47" i="9" a="1"/>
  <c r="AF47" i="9" s="1"/>
  <c r="AF55" i="9" a="1"/>
  <c r="AF55" i="9" s="1"/>
  <c r="AF63" i="9" a="1"/>
  <c r="AF63" i="9" s="1"/>
  <c r="AF71" i="9" a="1"/>
  <c r="AF71" i="9" s="1"/>
  <c r="AF78" i="9" a="1"/>
  <c r="AF78" i="9" s="1"/>
  <c r="AF86" i="9" a="1"/>
  <c r="AF86" i="9" s="1"/>
  <c r="AF94" i="9" a="1"/>
  <c r="AF94" i="9" s="1"/>
  <c r="AF102" i="9" a="1"/>
  <c r="AF102" i="9" s="1"/>
  <c r="AM14" i="9" a="1"/>
  <c r="AM14" i="9" s="1"/>
  <c r="AM46" i="9" a="1"/>
  <c r="AM46" i="9" s="1"/>
  <c r="AM76" i="9" a="1"/>
  <c r="AM76" i="9" s="1"/>
  <c r="AM99" i="9" a="1"/>
  <c r="AM99" i="9" s="1"/>
  <c r="AT94" i="9" a="1"/>
  <c r="AT94" i="9" s="1"/>
  <c r="Y15" i="9" a="1"/>
  <c r="Y15" i="9" s="1"/>
  <c r="AM23" i="9" a="1"/>
  <c r="AM23" i="9" s="1"/>
  <c r="AM31" i="9" a="1"/>
  <c r="AM31" i="9" s="1"/>
  <c r="AM39" i="9" a="1"/>
  <c r="AM39" i="9" s="1"/>
  <c r="AM54" i="9" a="1"/>
  <c r="AM54" i="9" s="1"/>
  <c r="AM62" i="9" a="1"/>
  <c r="AM62" i="9" s="1"/>
  <c r="AM69" i="9" a="1"/>
  <c r="AM69" i="9" s="1"/>
  <c r="AM77" i="9" a="1"/>
  <c r="AM77" i="9" s="1"/>
  <c r="AM85" i="9" a="1"/>
  <c r="AM85" i="9" s="1"/>
  <c r="AM100" i="9" a="1"/>
  <c r="AM100" i="9" s="1"/>
  <c r="AT9" i="9" a="1"/>
  <c r="AT9" i="9" s="1"/>
  <c r="AT17" i="9" a="1"/>
  <c r="AT17" i="9" s="1"/>
  <c r="AT25" i="9" a="1"/>
  <c r="AT25" i="9" s="1"/>
  <c r="AT33" i="9" a="1"/>
  <c r="AT33" i="9" s="1"/>
  <c r="AT41" i="9" a="1"/>
  <c r="AT41" i="9" s="1"/>
  <c r="AT49" i="9" a="1"/>
  <c r="AT49" i="9" s="1"/>
  <c r="AT57" i="9" a="1"/>
  <c r="AT57" i="9" s="1"/>
  <c r="AT65" i="9" a="1"/>
  <c r="AT65" i="9" s="1"/>
  <c r="AT73" i="9" a="1"/>
  <c r="AT73" i="9" s="1"/>
  <c r="AT81" i="9" a="1"/>
  <c r="AT81" i="9" s="1"/>
  <c r="AT95" i="9" a="1"/>
  <c r="AT95" i="9" s="1"/>
  <c r="AT103" i="9" a="1"/>
  <c r="AT103" i="9" s="1"/>
  <c r="AF9" i="9" a="1"/>
  <c r="AF9" i="9" s="1"/>
  <c r="AF17" i="9" a="1"/>
  <c r="AF17" i="9" s="1"/>
  <c r="AF25" i="9" a="1"/>
  <c r="AF25" i="9" s="1"/>
  <c r="AF33" i="9" a="1"/>
  <c r="AF33" i="9" s="1"/>
  <c r="AF41" i="9" a="1"/>
  <c r="AF41" i="9" s="1"/>
  <c r="AF49" i="9" a="1"/>
  <c r="AF49" i="9" s="1"/>
  <c r="AF57" i="9" a="1"/>
  <c r="AF57" i="9" s="1"/>
  <c r="AF65" i="9" a="1"/>
  <c r="AF65" i="9" s="1"/>
  <c r="AF73" i="9" a="1"/>
  <c r="AF73" i="9" s="1"/>
  <c r="AF80" i="9" a="1"/>
  <c r="AF80" i="9" s="1"/>
  <c r="AF88" i="9" a="1"/>
  <c r="AF88" i="9" s="1"/>
  <c r="AF96" i="9" a="1"/>
  <c r="AF96" i="9" s="1"/>
  <c r="AF104" i="9" a="1"/>
  <c r="AF104" i="9" s="1"/>
  <c r="AM30" i="9" a="1"/>
  <c r="AM30" i="9" s="1"/>
  <c r="AM61" i="9" a="1"/>
  <c r="AM61" i="9" s="1"/>
  <c r="AM92" i="9" a="1"/>
  <c r="AM92" i="9" s="1"/>
  <c r="Y19" i="9" a="1"/>
  <c r="Y19" i="9" s="1"/>
  <c r="AM8" i="9" a="1"/>
  <c r="AM8" i="9" s="1"/>
  <c r="AM16" i="9" a="1"/>
  <c r="AM16" i="9" s="1"/>
  <c r="AM24" i="9" a="1"/>
  <c r="AM24" i="9" s="1"/>
  <c r="AM32" i="9" a="1"/>
  <c r="AM32" i="9" s="1"/>
  <c r="AM40" i="9" a="1"/>
  <c r="AM40" i="9" s="1"/>
  <c r="AM47" i="9" a="1"/>
  <c r="AM47" i="9" s="1"/>
  <c r="AM55" i="9" a="1"/>
  <c r="AM55" i="9" s="1"/>
  <c r="AM70" i="9" a="1"/>
  <c r="AM70" i="9" s="1"/>
  <c r="AM78" i="9" a="1"/>
  <c r="AM78" i="9" s="1"/>
  <c r="AM86" i="9" a="1"/>
  <c r="AM86" i="9" s="1"/>
  <c r="AM94" i="9" a="1"/>
  <c r="AM94" i="9" s="1"/>
  <c r="AT10" i="9" a="1"/>
  <c r="AT10" i="9" s="1"/>
  <c r="AT18" i="9" a="1"/>
  <c r="AT18" i="9" s="1"/>
  <c r="AT26" i="9" a="1"/>
  <c r="AT26" i="9" s="1"/>
  <c r="AT34" i="9" a="1"/>
  <c r="AT34" i="9" s="1"/>
  <c r="AT42" i="9" a="1"/>
  <c r="AT42" i="9" s="1"/>
  <c r="AT50" i="9" a="1"/>
  <c r="AT50" i="9" s="1"/>
  <c r="AT58" i="9" a="1"/>
  <c r="AT58" i="9" s="1"/>
  <c r="AT66" i="9" a="1"/>
  <c r="AT66" i="9" s="1"/>
  <c r="AT74" i="9" a="1"/>
  <c r="AT74" i="9" s="1"/>
  <c r="AT82" i="9" a="1"/>
  <c r="AT82" i="9" s="1"/>
  <c r="AT88" i="9" a="1"/>
  <c r="AT88" i="9" s="1"/>
  <c r="AT96" i="9" a="1"/>
  <c r="AT96" i="9" s="1"/>
  <c r="AT104" i="9" a="1"/>
  <c r="AT104" i="9" s="1"/>
  <c r="AF10" i="9" a="1"/>
  <c r="AF10" i="9" s="1"/>
  <c r="AF18" i="9" a="1"/>
  <c r="AF18" i="9" s="1"/>
  <c r="AF26" i="9" a="1"/>
  <c r="AF26" i="9" s="1"/>
  <c r="AF34" i="9" a="1"/>
  <c r="AF34" i="9" s="1"/>
  <c r="AF42" i="9" a="1"/>
  <c r="AF42" i="9" s="1"/>
  <c r="AF50" i="9" a="1"/>
  <c r="AF50" i="9" s="1"/>
  <c r="AF58" i="9" a="1"/>
  <c r="AF58" i="9" s="1"/>
  <c r="AF66" i="9" a="1"/>
  <c r="AF66" i="9" s="1"/>
  <c r="AF74" i="9" a="1"/>
  <c r="AF74" i="9" s="1"/>
  <c r="AF81" i="9" a="1"/>
  <c r="AF81" i="9" s="1"/>
  <c r="AF89" i="9" a="1"/>
  <c r="AF89" i="9" s="1"/>
  <c r="AF97" i="9" a="1"/>
  <c r="AF97" i="9" s="1"/>
  <c r="AF105" i="9" a="1"/>
  <c r="AF105" i="9" s="1"/>
  <c r="AM38" i="9" a="1"/>
  <c r="AM38" i="9" s="1"/>
  <c r="AM68" i="9" a="1"/>
  <c r="AM68" i="9" s="1"/>
  <c r="AM107" i="9" a="1"/>
  <c r="AM107" i="9" s="1"/>
  <c r="AT102" i="9" a="1"/>
  <c r="AT102" i="9" s="1"/>
  <c r="AM9" i="9" a="1"/>
  <c r="AM9" i="9" s="1"/>
  <c r="AM17" i="9" a="1"/>
  <c r="AM17" i="9" s="1"/>
  <c r="AM25" i="9" a="1"/>
  <c r="AM25" i="9" s="1"/>
  <c r="AM33" i="9" a="1"/>
  <c r="AM33" i="9" s="1"/>
  <c r="AM41" i="9" a="1"/>
  <c r="AM41" i="9" s="1"/>
  <c r="AM48" i="9" a="1"/>
  <c r="AM48" i="9" s="1"/>
  <c r="AM56" i="9" a="1"/>
  <c r="AM56" i="9" s="1"/>
  <c r="AM63" i="9" a="1"/>
  <c r="AM63" i="9" s="1"/>
  <c r="AM71" i="9" a="1"/>
  <c r="AM71" i="9" s="1"/>
  <c r="AM80" i="9" a="1"/>
  <c r="AM80" i="9" s="1"/>
  <c r="AM87" i="9" a="1"/>
  <c r="AM87" i="9" s="1"/>
  <c r="AM95" i="9" a="1"/>
  <c r="AM95" i="9" s="1"/>
  <c r="AM102" i="9" a="1"/>
  <c r="AM102" i="9" s="1"/>
  <c r="AT11" i="9" a="1"/>
  <c r="AT11" i="9" s="1"/>
  <c r="AT19" i="9" a="1"/>
  <c r="AT19" i="9" s="1"/>
  <c r="AT27" i="9" a="1"/>
  <c r="AT27" i="9" s="1"/>
  <c r="AT35" i="9" a="1"/>
  <c r="AT35" i="9" s="1"/>
  <c r="AT43" i="9" a="1"/>
  <c r="AT43" i="9" s="1"/>
  <c r="AT51" i="9" a="1"/>
  <c r="AT51" i="9" s="1"/>
  <c r="AT59" i="9" a="1"/>
  <c r="AT59" i="9" s="1"/>
  <c r="AT67" i="9" a="1"/>
  <c r="AT67" i="9" s="1"/>
  <c r="AT75" i="9" a="1"/>
  <c r="AT75" i="9" s="1"/>
  <c r="AT89" i="9" a="1"/>
  <c r="AT89" i="9" s="1"/>
  <c r="AT97" i="9" a="1"/>
  <c r="AT97" i="9" s="1"/>
  <c r="AT105" i="9" a="1"/>
  <c r="AT105" i="9" s="1"/>
  <c r="AF27" i="9" a="1"/>
  <c r="AF27" i="9" s="1"/>
  <c r="AF35" i="9" a="1"/>
  <c r="AF35" i="9" s="1"/>
  <c r="AF43" i="9" a="1"/>
  <c r="AF43" i="9" s="1"/>
  <c r="AF51" i="9" a="1"/>
  <c r="AF51" i="9" s="1"/>
  <c r="AF59" i="9" a="1"/>
  <c r="AF59" i="9" s="1"/>
  <c r="AF67" i="9" a="1"/>
  <c r="AF67" i="9" s="1"/>
  <c r="AF82" i="9" a="1"/>
  <c r="AF82" i="9" s="1"/>
  <c r="AF90" i="9" a="1"/>
  <c r="AF90" i="9" s="1"/>
  <c r="AF98" i="9" a="1"/>
  <c r="AF98" i="9" s="1"/>
  <c r="AF106" i="9" a="1"/>
  <c r="AF106" i="9" s="1"/>
  <c r="AM22" i="9" a="1"/>
  <c r="AM22" i="9" s="1"/>
  <c r="AM53" i="9" a="1"/>
  <c r="AM53" i="9" s="1"/>
  <c r="AM84" i="9" a="1"/>
  <c r="AM84" i="9" s="1"/>
  <c r="AM10" i="9" a="1"/>
  <c r="AM10" i="9" s="1"/>
  <c r="AM18" i="9" a="1"/>
  <c r="AM18" i="9" s="1"/>
  <c r="AM26" i="9" a="1"/>
  <c r="AM26" i="9" s="1"/>
  <c r="AM34" i="9" a="1"/>
  <c r="AM34" i="9" s="1"/>
  <c r="AM42" i="9" a="1"/>
  <c r="AM42" i="9" s="1"/>
  <c r="AM49" i="9" a="1"/>
  <c r="AM49" i="9" s="1"/>
  <c r="AM57" i="9" a="1"/>
  <c r="AM57" i="9" s="1"/>
  <c r="AM64" i="9" a="1"/>
  <c r="AM64" i="9" s="1"/>
  <c r="AM72" i="9" a="1"/>
  <c r="AM72" i="9" s="1"/>
  <c r="AM79" i="9" a="1"/>
  <c r="AM79" i="9" s="1"/>
  <c r="AM88" i="9" a="1"/>
  <c r="AM88" i="9" s="1"/>
  <c r="AM96" i="9" a="1"/>
  <c r="AM96" i="9" s="1"/>
  <c r="AM103" i="9" a="1"/>
  <c r="AM103" i="9" s="1"/>
  <c r="AT12" i="9" a="1"/>
  <c r="AT12" i="9" s="1"/>
  <c r="AT20" i="9" a="1"/>
  <c r="AT20" i="9" s="1"/>
  <c r="AT28" i="9" a="1"/>
  <c r="AT28" i="9" s="1"/>
  <c r="AT36" i="9" a="1"/>
  <c r="AT36" i="9" s="1"/>
  <c r="AT44" i="9" a="1"/>
  <c r="AT44" i="9" s="1"/>
  <c r="AT52" i="9" a="1"/>
  <c r="AT52" i="9" s="1"/>
  <c r="AT60" i="9" a="1"/>
  <c r="AT60" i="9" s="1"/>
  <c r="AT68" i="9" a="1"/>
  <c r="AT68" i="9" s="1"/>
  <c r="AT76" i="9" a="1"/>
  <c r="AT76" i="9" s="1"/>
  <c r="AT83" i="9" a="1"/>
  <c r="AT83" i="9" s="1"/>
  <c r="AT90" i="9" a="1"/>
  <c r="AT90" i="9" s="1"/>
  <c r="AT98" i="9" a="1"/>
  <c r="AT98" i="9" s="1"/>
  <c r="AT106" i="9" a="1"/>
  <c r="AT106" i="9" s="1"/>
  <c r="AF12" i="9" a="1"/>
  <c r="AF12" i="9" s="1"/>
  <c r="AF20" i="9" a="1"/>
  <c r="AF20" i="9" s="1"/>
  <c r="AF28" i="9" a="1"/>
  <c r="AF28" i="9" s="1"/>
  <c r="AF36" i="9" a="1"/>
  <c r="AF36" i="9" s="1"/>
  <c r="AF44" i="9" a="1"/>
  <c r="AF44" i="9" s="1"/>
  <c r="AF52" i="9" a="1"/>
  <c r="AF52" i="9" s="1"/>
  <c r="AF60" i="9" a="1"/>
  <c r="AF60" i="9" s="1"/>
  <c r="AF68" i="9" a="1"/>
  <c r="AF68" i="9" s="1"/>
  <c r="AF75" i="9" a="1"/>
  <c r="AF75" i="9" s="1"/>
  <c r="AF83" i="9" a="1"/>
  <c r="AF83" i="9" s="1"/>
  <c r="AF91" i="9" a="1"/>
  <c r="AF91" i="9" s="1"/>
  <c r="AF99" i="9" a="1"/>
  <c r="AF99" i="9" s="1"/>
  <c r="AF107" i="9" a="1"/>
  <c r="AF107" i="9" s="1"/>
  <c r="AV23" i="9"/>
  <c r="AW7" i="9" l="1"/>
  <c r="AW8" i="9"/>
  <c r="AW9" i="9"/>
  <c r="AW10" i="9"/>
  <c r="AW11" i="9"/>
  <c r="AW12" i="9"/>
  <c r="AW13" i="9"/>
  <c r="AW14" i="9"/>
  <c r="AW15" i="9"/>
  <c r="AW16" i="9"/>
  <c r="AW17" i="9"/>
  <c r="AW18" i="9"/>
  <c r="AW19" i="9"/>
  <c r="AW20" i="9"/>
  <c r="AW21" i="9"/>
  <c r="AW22" i="9"/>
  <c r="AW23" i="9"/>
  <c r="AW24" i="9"/>
  <c r="AW25" i="9"/>
  <c r="AW26" i="9"/>
  <c r="AW27" i="9"/>
  <c r="AW28" i="9"/>
  <c r="AW29" i="9"/>
  <c r="AW30" i="9"/>
  <c r="AW31" i="9"/>
  <c r="AW32" i="9"/>
  <c r="AW33" i="9"/>
  <c r="AW34" i="9"/>
  <c r="AW35" i="9"/>
  <c r="AW36" i="9"/>
  <c r="AW37" i="9"/>
  <c r="AW38" i="9"/>
  <c r="AW39" i="9"/>
  <c r="AW40" i="9"/>
  <c r="AW41" i="9"/>
  <c r="AW42" i="9"/>
  <c r="AW43" i="9"/>
  <c r="AW44" i="9"/>
  <c r="AW45" i="9"/>
  <c r="AW46" i="9"/>
  <c r="AW47" i="9"/>
  <c r="AW48" i="9"/>
  <c r="AW49" i="9"/>
  <c r="AW50" i="9"/>
  <c r="AW51" i="9"/>
  <c r="AW52" i="9"/>
  <c r="AW53" i="9"/>
  <c r="AW54" i="9"/>
  <c r="AW55" i="9"/>
  <c r="AW56" i="9"/>
  <c r="AW57" i="9"/>
  <c r="AW58" i="9"/>
  <c r="AW59" i="9"/>
  <c r="AW60" i="9"/>
  <c r="AW61" i="9"/>
  <c r="AW62" i="9"/>
  <c r="AW63" i="9"/>
  <c r="AW64" i="9"/>
  <c r="AW65" i="9"/>
  <c r="AW66" i="9"/>
  <c r="AW67" i="9"/>
  <c r="AW68" i="9"/>
  <c r="AW69" i="9"/>
  <c r="AW70" i="9"/>
  <c r="AW71" i="9"/>
  <c r="AW72" i="9"/>
  <c r="AW73" i="9"/>
  <c r="AW74" i="9"/>
  <c r="AW75" i="9"/>
  <c r="AW76" i="9"/>
  <c r="AW77" i="9"/>
  <c r="AW78" i="9"/>
  <c r="AW79" i="9"/>
  <c r="AW80" i="9"/>
  <c r="AW81" i="9"/>
  <c r="AW82" i="9"/>
  <c r="AW83" i="9"/>
  <c r="AW84" i="9"/>
  <c r="AW85" i="9"/>
  <c r="AW86" i="9"/>
  <c r="AW87" i="9"/>
  <c r="AW88" i="9"/>
  <c r="AW89" i="9"/>
  <c r="AW90" i="9"/>
  <c r="AW91" i="9"/>
  <c r="AW92" i="9"/>
  <c r="AW93" i="9"/>
  <c r="AW94" i="9"/>
  <c r="AW95" i="9"/>
  <c r="AW96" i="9"/>
  <c r="AW97" i="9"/>
  <c r="AW98" i="9"/>
  <c r="AW99" i="9"/>
  <c r="AW100" i="9"/>
  <c r="AW101" i="9"/>
  <c r="AW102" i="9"/>
  <c r="AW103" i="9"/>
  <c r="AW104" i="9"/>
  <c r="AW105" i="9"/>
  <c r="AW106" i="9"/>
  <c r="AW107" i="9"/>
  <c r="AV8" i="9"/>
  <c r="AV9" i="9"/>
  <c r="AV10" i="9"/>
  <c r="AV11" i="9"/>
  <c r="AV12" i="9"/>
  <c r="AV13" i="9"/>
  <c r="AV14" i="9"/>
  <c r="AV15" i="9"/>
  <c r="AV16" i="9"/>
  <c r="AV17" i="9"/>
  <c r="AV18" i="9"/>
  <c r="AV19" i="9"/>
  <c r="AV20" i="9"/>
  <c r="AV21" i="9"/>
  <c r="AV22" i="9"/>
  <c r="AV24" i="9"/>
  <c r="AV25" i="9"/>
  <c r="AV26" i="9"/>
  <c r="AV27" i="9"/>
  <c r="AV28" i="9"/>
  <c r="AV29" i="9"/>
  <c r="AV30" i="9"/>
  <c r="AV31" i="9"/>
  <c r="AV32" i="9"/>
  <c r="AV33" i="9"/>
  <c r="AV34" i="9"/>
  <c r="AV35" i="9"/>
  <c r="AV36" i="9"/>
  <c r="AV37" i="9"/>
  <c r="AV38" i="9"/>
  <c r="AV39" i="9"/>
  <c r="AV40" i="9"/>
  <c r="AV41" i="9"/>
  <c r="AV42" i="9"/>
  <c r="AV43" i="9"/>
  <c r="AV44" i="9"/>
  <c r="AV45" i="9"/>
  <c r="AV46" i="9"/>
  <c r="AV47" i="9"/>
  <c r="AV48" i="9"/>
  <c r="AV49" i="9"/>
  <c r="AV50" i="9"/>
  <c r="AV51" i="9"/>
  <c r="AV52" i="9"/>
  <c r="AV53" i="9"/>
  <c r="AV54" i="9"/>
  <c r="AV55" i="9"/>
  <c r="AV56" i="9"/>
  <c r="AV57" i="9"/>
  <c r="AV58" i="9"/>
  <c r="AV59" i="9"/>
  <c r="AV60" i="9"/>
  <c r="AV61" i="9"/>
  <c r="AV62" i="9"/>
  <c r="AV63" i="9"/>
  <c r="AV64" i="9"/>
  <c r="AV65" i="9"/>
  <c r="AV66" i="9"/>
  <c r="AV67" i="9"/>
  <c r="AV68" i="9"/>
  <c r="AV69" i="9"/>
  <c r="AV70" i="9"/>
  <c r="AV71" i="9"/>
  <c r="AV72" i="9"/>
  <c r="AV73" i="9"/>
  <c r="AV74" i="9"/>
  <c r="AV75" i="9"/>
  <c r="AV76" i="9"/>
  <c r="AV77" i="9"/>
  <c r="AV78" i="9"/>
  <c r="AV79" i="9"/>
  <c r="AV80" i="9"/>
  <c r="AV81" i="9"/>
  <c r="AV82" i="9"/>
  <c r="AV83" i="9"/>
  <c r="AV84" i="9"/>
  <c r="AV85" i="9"/>
  <c r="AV86" i="9"/>
  <c r="AV87" i="9"/>
  <c r="AV88" i="9"/>
  <c r="AV89" i="9"/>
  <c r="AV90" i="9"/>
  <c r="AV91" i="9"/>
  <c r="AV92" i="9"/>
  <c r="AV93" i="9"/>
  <c r="AV94" i="9"/>
  <c r="AV95" i="9"/>
  <c r="AV96" i="9"/>
  <c r="AV97" i="9"/>
  <c r="AV98" i="9"/>
  <c r="AV99" i="9"/>
  <c r="AV100" i="9"/>
  <c r="AV101" i="9"/>
  <c r="AV102" i="9"/>
  <c r="AV103" i="9"/>
  <c r="AV104" i="9"/>
  <c r="AV105" i="9"/>
  <c r="AV106" i="9"/>
  <c r="AV107" i="9"/>
  <c r="AX20" i="9" l="1"/>
  <c r="AX38" i="9"/>
  <c r="AX22" i="9"/>
  <c r="AX86" i="9"/>
  <c r="AX8" i="9"/>
  <c r="AX27" i="9"/>
  <c r="AX102" i="9"/>
  <c r="AX94" i="9"/>
  <c r="AX78" i="9"/>
  <c r="AX70" i="9"/>
  <c r="AX103" i="9"/>
  <c r="AX95" i="9"/>
  <c r="AX87" i="9"/>
  <c r="AX79" i="9"/>
  <c r="AX71" i="9"/>
  <c r="AX101" i="9"/>
  <c r="AX93" i="9"/>
  <c r="AX85" i="9"/>
  <c r="AX77" i="9"/>
  <c r="AX69" i="9"/>
  <c r="AX61" i="9"/>
  <c r="AX53" i="9"/>
  <c r="AX45" i="9"/>
  <c r="AX37" i="9"/>
  <c r="AX29" i="9"/>
  <c r="AX21" i="9"/>
  <c r="AX13" i="9"/>
  <c r="AX100" i="9"/>
  <c r="AX92" i="9"/>
  <c r="AX84" i="9"/>
  <c r="AX76" i="9"/>
  <c r="AX68" i="9"/>
  <c r="AX60" i="9"/>
  <c r="AX52" i="9"/>
  <c r="AX44" i="9"/>
  <c r="AX36" i="9"/>
  <c r="AX28" i="9"/>
  <c r="AX12" i="9"/>
  <c r="AX107" i="9"/>
  <c r="AX99" i="9"/>
  <c r="AX91" i="9"/>
  <c r="AX83" i="9"/>
  <c r="AX75" i="9"/>
  <c r="AX67" i="9"/>
  <c r="AX59" i="9"/>
  <c r="AX51" i="9"/>
  <c r="AX43" i="9"/>
  <c r="AX35" i="9"/>
  <c r="AX106" i="9"/>
  <c r="AX98" i="9"/>
  <c r="AX90" i="9"/>
  <c r="AX82" i="9"/>
  <c r="AX74" i="9"/>
  <c r="AX105" i="9"/>
  <c r="AX97" i="9"/>
  <c r="AX89" i="9"/>
  <c r="AX81" i="9"/>
  <c r="AX73" i="9"/>
  <c r="AX17" i="9"/>
  <c r="AX9" i="9"/>
  <c r="AX104" i="9"/>
  <c r="AX96" i="9"/>
  <c r="AX88" i="9"/>
  <c r="AX80" i="9"/>
  <c r="AX72" i="9"/>
  <c r="AX16" i="9"/>
  <c r="AX19" i="9"/>
  <c r="AX11" i="9"/>
  <c r="AX66" i="9"/>
  <c r="AX58" i="9"/>
  <c r="AX50" i="9"/>
  <c r="AX42" i="9"/>
  <c r="AX34" i="9"/>
  <c r="AX26" i="9"/>
  <c r="AX18" i="9"/>
  <c r="AX10" i="9"/>
  <c r="AX65" i="9"/>
  <c r="AX57" i="9"/>
  <c r="AX49" i="9"/>
  <c r="AX41" i="9"/>
  <c r="AX33" i="9"/>
  <c r="AX25" i="9"/>
  <c r="AX64" i="9"/>
  <c r="AX56" i="9"/>
  <c r="AX48" i="9"/>
  <c r="AX40" i="9"/>
  <c r="AX32" i="9"/>
  <c r="AX24" i="9"/>
  <c r="AX63" i="9"/>
  <c r="AX55" i="9"/>
  <c r="AX47" i="9"/>
  <c r="AX39" i="9"/>
  <c r="AX31" i="9"/>
  <c r="AX23" i="9"/>
  <c r="AX15" i="9"/>
  <c r="AX62" i="9"/>
  <c r="AX54" i="9"/>
  <c r="AX46" i="9"/>
  <c r="AX30" i="9"/>
  <c r="AX14" i="9"/>
  <c r="D63" i="12"/>
  <c r="D62" i="12"/>
  <c r="F56" i="12" l="1"/>
  <c r="F55" i="12"/>
  <c r="F54" i="12"/>
  <c r="F53" i="12"/>
  <c r="F52" i="12"/>
  <c r="F51" i="12"/>
  <c r="F50" i="12"/>
  <c r="F49" i="12"/>
  <c r="F48" i="12"/>
  <c r="F47" i="12"/>
  <c r="F46" i="12"/>
  <c r="F45" i="12"/>
  <c r="D61" i="12"/>
  <c r="F44" i="12"/>
  <c r="F43" i="12"/>
  <c r="F42" i="12"/>
  <c r="F41" i="12"/>
  <c r="F40" i="12"/>
  <c r="F39" i="12"/>
  <c r="K18" i="12"/>
  <c r="J18" i="12"/>
  <c r="AV7" i="9" s="1"/>
  <c r="AX7" i="9" s="1"/>
  <c r="AQ7" i="9" l="1"/>
  <c r="AQ8" i="9"/>
  <c r="AQ9" i="9"/>
  <c r="AQ10" i="9"/>
  <c r="AQ11" i="9"/>
  <c r="AQ12" i="9"/>
  <c r="AQ13"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0" i="9"/>
  <c r="AQ51" i="9"/>
  <c r="AQ52" i="9"/>
  <c r="AQ53" i="9"/>
  <c r="AQ54" i="9"/>
  <c r="AQ55" i="9"/>
  <c r="AQ56" i="9"/>
  <c r="AQ57" i="9"/>
  <c r="AQ58" i="9"/>
  <c r="AQ59" i="9"/>
  <c r="AQ60" i="9"/>
  <c r="AQ61" i="9"/>
  <c r="AQ62" i="9"/>
  <c r="AQ63" i="9"/>
  <c r="AQ64" i="9"/>
  <c r="AQ65" i="9"/>
  <c r="AQ66" i="9"/>
  <c r="AQ67" i="9"/>
  <c r="AQ68" i="9"/>
  <c r="AQ69" i="9"/>
  <c r="AQ70" i="9"/>
  <c r="AQ71" i="9"/>
  <c r="AQ72" i="9"/>
  <c r="AQ73" i="9"/>
  <c r="AQ74" i="9"/>
  <c r="AQ75" i="9"/>
  <c r="AQ76" i="9"/>
  <c r="AQ77" i="9"/>
  <c r="AQ78" i="9"/>
  <c r="AQ79" i="9"/>
  <c r="AQ80" i="9"/>
  <c r="AQ81" i="9"/>
  <c r="AQ82" i="9"/>
  <c r="AQ83" i="9"/>
  <c r="AQ84" i="9"/>
  <c r="AQ85" i="9"/>
  <c r="AQ86" i="9"/>
  <c r="AQ87" i="9"/>
  <c r="AQ88" i="9"/>
  <c r="AQ89" i="9"/>
  <c r="AQ90" i="9"/>
  <c r="AQ91" i="9"/>
  <c r="AQ92" i="9"/>
  <c r="AQ93" i="9"/>
  <c r="AQ94" i="9"/>
  <c r="AQ95" i="9"/>
  <c r="AQ96" i="9"/>
  <c r="AQ97" i="9"/>
  <c r="AQ98" i="9"/>
  <c r="AQ99" i="9"/>
  <c r="AQ100" i="9"/>
  <c r="AQ101" i="9"/>
  <c r="AQ102" i="9"/>
  <c r="AQ103" i="9"/>
  <c r="AQ104" i="9"/>
  <c r="AQ105" i="9"/>
  <c r="AQ106" i="9"/>
  <c r="AQ107" i="9"/>
  <c r="AJ8" i="9"/>
  <c r="AJ9" i="9"/>
  <c r="AJ10" i="9"/>
  <c r="AJ11" i="9"/>
  <c r="AJ12" i="9"/>
  <c r="AJ13" i="9"/>
  <c r="AJ14" i="9"/>
  <c r="AJ15" i="9"/>
  <c r="AJ16" i="9"/>
  <c r="AJ17" i="9"/>
  <c r="AJ18" i="9"/>
  <c r="AJ19" i="9"/>
  <c r="AJ20" i="9"/>
  <c r="AJ21" i="9"/>
  <c r="AJ22" i="9"/>
  <c r="AJ23" i="9"/>
  <c r="AJ24" i="9"/>
  <c r="AJ25" i="9"/>
  <c r="AJ26" i="9"/>
  <c r="AJ27" i="9"/>
  <c r="AJ28" i="9"/>
  <c r="AJ29" i="9"/>
  <c r="AJ30" i="9"/>
  <c r="AJ31" i="9"/>
  <c r="AJ32" i="9"/>
  <c r="AJ33" i="9"/>
  <c r="AJ34" i="9"/>
  <c r="AJ35" i="9"/>
  <c r="AJ36" i="9"/>
  <c r="AJ37" i="9"/>
  <c r="AJ38" i="9"/>
  <c r="AJ39" i="9"/>
  <c r="AJ40" i="9"/>
  <c r="AJ41" i="9"/>
  <c r="AJ42" i="9"/>
  <c r="AJ43" i="9"/>
  <c r="AJ44" i="9"/>
  <c r="AJ45" i="9"/>
  <c r="AJ46" i="9"/>
  <c r="AJ47" i="9"/>
  <c r="AJ48" i="9"/>
  <c r="AJ49" i="9"/>
  <c r="AJ50" i="9"/>
  <c r="AJ51" i="9"/>
  <c r="AJ52" i="9"/>
  <c r="AJ53" i="9"/>
  <c r="AJ54" i="9"/>
  <c r="AJ55" i="9"/>
  <c r="AJ56" i="9"/>
  <c r="AJ57" i="9"/>
  <c r="AJ58" i="9"/>
  <c r="AJ59" i="9"/>
  <c r="AJ60" i="9"/>
  <c r="AJ61" i="9"/>
  <c r="AJ62" i="9"/>
  <c r="AJ63" i="9"/>
  <c r="AJ64" i="9"/>
  <c r="AJ65" i="9"/>
  <c r="AJ66" i="9"/>
  <c r="AJ67" i="9"/>
  <c r="AJ68" i="9"/>
  <c r="AJ69" i="9"/>
  <c r="AJ70" i="9"/>
  <c r="AJ71" i="9"/>
  <c r="AJ72" i="9"/>
  <c r="AJ73" i="9"/>
  <c r="AJ74" i="9"/>
  <c r="AJ75" i="9"/>
  <c r="AJ76" i="9"/>
  <c r="AJ77" i="9"/>
  <c r="AJ78" i="9"/>
  <c r="AJ79" i="9"/>
  <c r="AJ80" i="9"/>
  <c r="AJ81" i="9"/>
  <c r="AJ82" i="9"/>
  <c r="AJ83" i="9"/>
  <c r="AJ84" i="9"/>
  <c r="AJ85" i="9"/>
  <c r="AJ86" i="9"/>
  <c r="AJ87" i="9"/>
  <c r="AJ88" i="9"/>
  <c r="AJ89" i="9"/>
  <c r="AJ90" i="9"/>
  <c r="AJ91" i="9"/>
  <c r="AJ92" i="9"/>
  <c r="AJ93" i="9"/>
  <c r="AJ94" i="9"/>
  <c r="AJ95" i="9"/>
  <c r="AJ96" i="9"/>
  <c r="AJ97" i="9"/>
  <c r="AJ98" i="9"/>
  <c r="AJ99" i="9"/>
  <c r="AJ100" i="9"/>
  <c r="AJ101" i="9"/>
  <c r="AJ102" i="9"/>
  <c r="AJ103" i="9"/>
  <c r="AJ104" i="9"/>
  <c r="AJ105" i="9"/>
  <c r="AJ106" i="9"/>
  <c r="AJ107" i="9"/>
  <c r="AJ7" i="9"/>
  <c r="AC12" i="9"/>
  <c r="AC20" i="9"/>
  <c r="AC28" i="9"/>
  <c r="AC36" i="9"/>
  <c r="AC44" i="9"/>
  <c r="AC52" i="9"/>
  <c r="AC57" i="9"/>
  <c r="AC60" i="9"/>
  <c r="AC65" i="9"/>
  <c r="AC68" i="9"/>
  <c r="AC73" i="9"/>
  <c r="AC76" i="9"/>
  <c r="AC81" i="9"/>
  <c r="AC84" i="9"/>
  <c r="AC89" i="9"/>
  <c r="AC92" i="9"/>
  <c r="AC97" i="9"/>
  <c r="AC100" i="9"/>
  <c r="AC105" i="9"/>
  <c r="AC8" i="9"/>
  <c r="AE8" i="9" s="1"/>
  <c r="AC9" i="9"/>
  <c r="AE9" i="9" s="1"/>
  <c r="AC10" i="9"/>
  <c r="AE10" i="9" s="1"/>
  <c r="AC11" i="9"/>
  <c r="AE11" i="9" s="1"/>
  <c r="AC13" i="9"/>
  <c r="AC14" i="9"/>
  <c r="AC15" i="9"/>
  <c r="AC16" i="9"/>
  <c r="AC17" i="9"/>
  <c r="AC18" i="9"/>
  <c r="AC19" i="9"/>
  <c r="AC21" i="9"/>
  <c r="AC22" i="9"/>
  <c r="AC23" i="9"/>
  <c r="AC24" i="9"/>
  <c r="AC25" i="9"/>
  <c r="AC26" i="9"/>
  <c r="AC27" i="9"/>
  <c r="AC29" i="9"/>
  <c r="AC30" i="9"/>
  <c r="AC31" i="9"/>
  <c r="AC32" i="9"/>
  <c r="AC33" i="9"/>
  <c r="AC34" i="9"/>
  <c r="AC35" i="9"/>
  <c r="AC37" i="9"/>
  <c r="AC38" i="9"/>
  <c r="AC39" i="9"/>
  <c r="AC40" i="9"/>
  <c r="AC41" i="9"/>
  <c r="AC42" i="9"/>
  <c r="AC43" i="9"/>
  <c r="AC45" i="9"/>
  <c r="AC46" i="9"/>
  <c r="AC47" i="9"/>
  <c r="AC48" i="9"/>
  <c r="AC49" i="9"/>
  <c r="AC50" i="9"/>
  <c r="AC51" i="9"/>
  <c r="AC53" i="9"/>
  <c r="AC54" i="9"/>
  <c r="AC55" i="9"/>
  <c r="AC56" i="9"/>
  <c r="AC58" i="9"/>
  <c r="AC59" i="9"/>
  <c r="AC61" i="9"/>
  <c r="AC62" i="9"/>
  <c r="AC63" i="9"/>
  <c r="AC64" i="9"/>
  <c r="AC66" i="9"/>
  <c r="AC67" i="9"/>
  <c r="AC69" i="9"/>
  <c r="AC70" i="9"/>
  <c r="AC71" i="9"/>
  <c r="AC72" i="9"/>
  <c r="AC74" i="9"/>
  <c r="AC75" i="9"/>
  <c r="AC77" i="9"/>
  <c r="AC78" i="9"/>
  <c r="AC79" i="9"/>
  <c r="AC80" i="9"/>
  <c r="AC82" i="9"/>
  <c r="AC83" i="9"/>
  <c r="AC85" i="9"/>
  <c r="AC86" i="9"/>
  <c r="AC87" i="9"/>
  <c r="AC88" i="9"/>
  <c r="AC90" i="9"/>
  <c r="AC91" i="9"/>
  <c r="AC93" i="9"/>
  <c r="AC94" i="9"/>
  <c r="AC95" i="9"/>
  <c r="AC96" i="9"/>
  <c r="AC98" i="9"/>
  <c r="AC99" i="9"/>
  <c r="AC101" i="9"/>
  <c r="AC102" i="9"/>
  <c r="AC103" i="9"/>
  <c r="AC104" i="9"/>
  <c r="AC106" i="9"/>
  <c r="AC107" i="9"/>
  <c r="AC7" i="9"/>
  <c r="AE7" i="9" s="1"/>
  <c r="V7" i="9"/>
  <c r="X7" i="9" s="1"/>
  <c r="V8" i="9"/>
  <c r="X8" i="9" s="1"/>
  <c r="V9" i="9"/>
  <c r="X9" i="9" s="1"/>
  <c r="V10" i="9"/>
  <c r="X10" i="9" s="1"/>
  <c r="V11" i="9"/>
  <c r="X11" i="9" s="1"/>
  <c r="V12" i="9"/>
  <c r="X12" i="9" s="1"/>
  <c r="V13" i="9"/>
  <c r="X13" i="9" s="1"/>
  <c r="V14" i="9"/>
  <c r="X14" i="9" s="1"/>
  <c r="V15" i="9"/>
  <c r="X15" i="9" s="1"/>
  <c r="V16" i="9"/>
  <c r="X16" i="9" s="1"/>
  <c r="V17" i="9"/>
  <c r="X17" i="9" s="1"/>
  <c r="V18" i="9"/>
  <c r="X18" i="9" s="1"/>
  <c r="V19" i="9"/>
  <c r="X19" i="9" s="1"/>
  <c r="V20" i="9"/>
  <c r="X20" i="9" s="1"/>
  <c r="V21" i="9"/>
  <c r="X21" i="9" s="1"/>
  <c r="V22" i="9"/>
  <c r="X22" i="9" s="1"/>
  <c r="V23" i="9"/>
  <c r="X23" i="9" s="1"/>
  <c r="V24" i="9"/>
  <c r="X24" i="9" s="1"/>
  <c r="V25" i="9"/>
  <c r="X25" i="9" s="1"/>
  <c r="V26" i="9"/>
  <c r="X26" i="9" s="1"/>
  <c r="V27" i="9"/>
  <c r="X27" i="9" s="1"/>
  <c r="V28" i="9"/>
  <c r="X28" i="9" s="1"/>
  <c r="V29" i="9"/>
  <c r="X29" i="9" s="1"/>
  <c r="V30" i="9"/>
  <c r="X30" i="9" s="1"/>
  <c r="V31" i="9"/>
  <c r="X31" i="9" s="1"/>
  <c r="V32" i="9"/>
  <c r="X32" i="9" s="1"/>
  <c r="V33" i="9"/>
  <c r="X33" i="9" s="1"/>
  <c r="V34" i="9"/>
  <c r="X34" i="9" s="1"/>
  <c r="V35" i="9"/>
  <c r="X35" i="9" s="1"/>
  <c r="V36" i="9"/>
  <c r="X36" i="9" s="1"/>
  <c r="V37" i="9"/>
  <c r="X37" i="9" s="1"/>
  <c r="V38" i="9"/>
  <c r="X38" i="9" s="1"/>
  <c r="V39" i="9"/>
  <c r="X39" i="9" s="1"/>
  <c r="V40" i="9"/>
  <c r="X40" i="9" s="1"/>
  <c r="V41" i="9"/>
  <c r="X41" i="9" s="1"/>
  <c r="V42" i="9"/>
  <c r="X42" i="9" s="1"/>
  <c r="V43" i="9"/>
  <c r="X43" i="9" s="1"/>
  <c r="V44" i="9"/>
  <c r="X44" i="9" s="1"/>
  <c r="V45" i="9"/>
  <c r="X45" i="9" s="1"/>
  <c r="V46" i="9"/>
  <c r="X46" i="9" s="1"/>
  <c r="V47" i="9"/>
  <c r="X47" i="9" s="1"/>
  <c r="V48" i="9"/>
  <c r="X48" i="9" s="1"/>
  <c r="V49" i="9"/>
  <c r="X49" i="9" s="1"/>
  <c r="V50" i="9"/>
  <c r="X50" i="9" s="1"/>
  <c r="V51" i="9"/>
  <c r="X51" i="9" s="1"/>
  <c r="V52" i="9"/>
  <c r="X52" i="9" s="1"/>
  <c r="V53" i="9"/>
  <c r="X53" i="9" s="1"/>
  <c r="V54" i="9"/>
  <c r="X54" i="9" s="1"/>
  <c r="V55" i="9"/>
  <c r="X55" i="9" s="1"/>
  <c r="V56" i="9"/>
  <c r="X56" i="9" s="1"/>
  <c r="V57" i="9"/>
  <c r="X57" i="9" s="1"/>
  <c r="V58" i="9"/>
  <c r="X58" i="9" s="1"/>
  <c r="V59" i="9"/>
  <c r="X59" i="9" s="1"/>
  <c r="V60" i="9"/>
  <c r="X60" i="9" s="1"/>
  <c r="V61" i="9"/>
  <c r="X61" i="9" s="1"/>
  <c r="V62" i="9"/>
  <c r="X62" i="9" s="1"/>
  <c r="V63" i="9"/>
  <c r="X63" i="9" s="1"/>
  <c r="V64" i="9"/>
  <c r="X64" i="9" s="1"/>
  <c r="V65" i="9"/>
  <c r="X65" i="9" s="1"/>
  <c r="V66" i="9"/>
  <c r="X66" i="9" s="1"/>
  <c r="V67" i="9"/>
  <c r="X67" i="9" s="1"/>
  <c r="V68" i="9"/>
  <c r="X68" i="9" s="1"/>
  <c r="V69" i="9"/>
  <c r="X69" i="9" s="1"/>
  <c r="V70" i="9"/>
  <c r="X70" i="9" s="1"/>
  <c r="V71" i="9"/>
  <c r="X71" i="9" s="1"/>
  <c r="V72" i="9"/>
  <c r="X72" i="9" s="1"/>
  <c r="V73" i="9"/>
  <c r="X73" i="9" s="1"/>
  <c r="V74" i="9"/>
  <c r="X74" i="9" s="1"/>
  <c r="V75" i="9"/>
  <c r="X75" i="9" s="1"/>
  <c r="V76" i="9"/>
  <c r="X76" i="9" s="1"/>
  <c r="V77" i="9"/>
  <c r="X77" i="9" s="1"/>
  <c r="V78" i="9"/>
  <c r="X78" i="9" s="1"/>
  <c r="V79" i="9"/>
  <c r="X79" i="9" s="1"/>
  <c r="V80" i="9"/>
  <c r="X80" i="9" s="1"/>
  <c r="V81" i="9"/>
  <c r="X81" i="9" s="1"/>
  <c r="V82" i="9"/>
  <c r="X82" i="9" s="1"/>
  <c r="V83" i="9"/>
  <c r="X83" i="9" s="1"/>
  <c r="V84" i="9"/>
  <c r="X84" i="9" s="1"/>
  <c r="V85" i="9"/>
  <c r="X85" i="9" s="1"/>
  <c r="V86" i="9"/>
  <c r="X86" i="9" s="1"/>
  <c r="V87" i="9"/>
  <c r="X87" i="9" s="1"/>
  <c r="V88" i="9"/>
  <c r="X88" i="9" s="1"/>
  <c r="V89" i="9"/>
  <c r="X89" i="9" s="1"/>
  <c r="V90" i="9"/>
  <c r="X90" i="9" s="1"/>
  <c r="V91" i="9"/>
  <c r="X91" i="9" s="1"/>
  <c r="V92" i="9"/>
  <c r="X92" i="9" s="1"/>
  <c r="V93" i="9"/>
  <c r="X93" i="9" s="1"/>
  <c r="V94" i="9"/>
  <c r="X94" i="9" s="1"/>
  <c r="V95" i="9"/>
  <c r="X95" i="9" s="1"/>
  <c r="V96" i="9"/>
  <c r="X96" i="9" s="1"/>
  <c r="V97" i="9"/>
  <c r="X97" i="9" s="1"/>
  <c r="V98" i="9"/>
  <c r="X98" i="9" s="1"/>
  <c r="V99" i="9"/>
  <c r="X99" i="9" s="1"/>
  <c r="V100" i="9"/>
  <c r="X100" i="9" s="1"/>
  <c r="V101" i="9"/>
  <c r="X101" i="9" s="1"/>
  <c r="V102" i="9"/>
  <c r="X102" i="9" s="1"/>
  <c r="V103" i="9"/>
  <c r="X103" i="9" s="1"/>
  <c r="V104" i="9"/>
  <c r="X104" i="9" s="1"/>
  <c r="V105" i="9"/>
  <c r="X105" i="9" s="1"/>
  <c r="V106" i="9"/>
  <c r="X106" i="9" s="1"/>
  <c r="V107" i="9"/>
  <c r="X107" i="9" s="1"/>
  <c r="AC10" i="11" l="1"/>
  <c r="AC11" i="11"/>
  <c r="AC12" i="11"/>
  <c r="AC13" i="11"/>
  <c r="AC14" i="11"/>
  <c r="AC15" i="11"/>
  <c r="AC16" i="11"/>
  <c r="AD16" i="11" s="1"/>
  <c r="AC17" i="11"/>
  <c r="AC18" i="11"/>
  <c r="AC19" i="11"/>
  <c r="AC20" i="11"/>
  <c r="AC21" i="11"/>
  <c r="AC22" i="11"/>
  <c r="AC23" i="11"/>
  <c r="AC24" i="11"/>
  <c r="AC25" i="11"/>
  <c r="AC26" i="11"/>
  <c r="AC27" i="11"/>
  <c r="AC28" i="11"/>
  <c r="AC29" i="11"/>
  <c r="AC30" i="11"/>
  <c r="AC31" i="11"/>
  <c r="AC32" i="11"/>
  <c r="AC33" i="11"/>
  <c r="AC34" i="11"/>
  <c r="AC35" i="11"/>
  <c r="AC36" i="11"/>
  <c r="AC37" i="11"/>
  <c r="AC38" i="11"/>
  <c r="AC39" i="11"/>
  <c r="AC40" i="11"/>
  <c r="AC41" i="11"/>
  <c r="AC42" i="11"/>
  <c r="AC43" i="11"/>
  <c r="AC44" i="11"/>
  <c r="AC45" i="11"/>
  <c r="AC46" i="11"/>
  <c r="AC47" i="11"/>
  <c r="AC48" i="11"/>
  <c r="AC49" i="11"/>
  <c r="AC50" i="11"/>
  <c r="AC51" i="11"/>
  <c r="AC52" i="11"/>
  <c r="AC53" i="11"/>
  <c r="AC54" i="11"/>
  <c r="AC55" i="11"/>
  <c r="AC56" i="11"/>
  <c r="AC57" i="11"/>
  <c r="AC58" i="11"/>
  <c r="AC59" i="11"/>
  <c r="AC60" i="11"/>
  <c r="AC61" i="11"/>
  <c r="AC62" i="11"/>
  <c r="AC63" i="11"/>
  <c r="AC64" i="11"/>
  <c r="AC65" i="11"/>
  <c r="AC66" i="11"/>
  <c r="AC67" i="11"/>
  <c r="AC68" i="11"/>
  <c r="AC69" i="11"/>
  <c r="AC70" i="11"/>
  <c r="AC71" i="11"/>
  <c r="AC72" i="11"/>
  <c r="AC73" i="11"/>
  <c r="AC74" i="11"/>
  <c r="AC75" i="11"/>
  <c r="AC76" i="11"/>
  <c r="AC77" i="11"/>
  <c r="AC78" i="11"/>
  <c r="AC79" i="11"/>
  <c r="AC80" i="11"/>
  <c r="AC81" i="11"/>
  <c r="AC82" i="11"/>
  <c r="AC83" i="11"/>
  <c r="AC84" i="11"/>
  <c r="AC85" i="11"/>
  <c r="AC86" i="11"/>
  <c r="AC87" i="11"/>
  <c r="AC88" i="11"/>
  <c r="AC89" i="11"/>
  <c r="AC90" i="11"/>
  <c r="AC91" i="11"/>
  <c r="AC92" i="11"/>
  <c r="AC93" i="11"/>
  <c r="AC94" i="11"/>
  <c r="AC95" i="11"/>
  <c r="AC96" i="11"/>
  <c r="AC97" i="11"/>
  <c r="AC98" i="11"/>
  <c r="AC99" i="11"/>
  <c r="AC100" i="11"/>
  <c r="AC101" i="11"/>
  <c r="AC102" i="11"/>
  <c r="AC103" i="11"/>
  <c r="AC104" i="11"/>
  <c r="AC105" i="11"/>
  <c r="AC106" i="11"/>
  <c r="AC107" i="11"/>
  <c r="AC108" i="11"/>
  <c r="AC109" i="11"/>
  <c r="AC110" i="11"/>
  <c r="AD10" i="11"/>
  <c r="AD11" i="11"/>
  <c r="AD12" i="11"/>
  <c r="AD13" i="11"/>
  <c r="AD14" i="11"/>
  <c r="AD15" i="11"/>
  <c r="AD17" i="11"/>
  <c r="AD18" i="11"/>
  <c r="AD19" i="11"/>
  <c r="AD20" i="11"/>
  <c r="AD21" i="11"/>
  <c r="AD22" i="11"/>
  <c r="AD23" i="11"/>
  <c r="AD24" i="11"/>
  <c r="AD25" i="11"/>
  <c r="AD26" i="11"/>
  <c r="AD27" i="11"/>
  <c r="AD28" i="11"/>
  <c r="AD29" i="11"/>
  <c r="AD30" i="11"/>
  <c r="AD31" i="11"/>
  <c r="AD32" i="11"/>
  <c r="AD33" i="11"/>
  <c r="AD34" i="11"/>
  <c r="AD35" i="11"/>
  <c r="AD36" i="11"/>
  <c r="AD37" i="11"/>
  <c r="AD38" i="11"/>
  <c r="AD39" i="11"/>
  <c r="AD40" i="11"/>
  <c r="AD41" i="11"/>
  <c r="AD42" i="11"/>
  <c r="AD43" i="11"/>
  <c r="AD44" i="11"/>
  <c r="AD45" i="11"/>
  <c r="AD46" i="11"/>
  <c r="AD47" i="11"/>
  <c r="AD48" i="11"/>
  <c r="AD49" i="11"/>
  <c r="AD50" i="11"/>
  <c r="AD51" i="11"/>
  <c r="AD52" i="11"/>
  <c r="AD53" i="11"/>
  <c r="AD54" i="11"/>
  <c r="AD55" i="11"/>
  <c r="AD56" i="11"/>
  <c r="AD57" i="11"/>
  <c r="AD58" i="11"/>
  <c r="AD59" i="11"/>
  <c r="AD60" i="11"/>
  <c r="AD61" i="11"/>
  <c r="AD62" i="11"/>
  <c r="AD63" i="11"/>
  <c r="AD64" i="11"/>
  <c r="AD65" i="11"/>
  <c r="AD66" i="11"/>
  <c r="AD67" i="11"/>
  <c r="AD68" i="11"/>
  <c r="AD69" i="11"/>
  <c r="AD70" i="11"/>
  <c r="AD71" i="11"/>
  <c r="AD72" i="11"/>
  <c r="AD73" i="11"/>
  <c r="AD74" i="11"/>
  <c r="AD75" i="11"/>
  <c r="AD76" i="11"/>
  <c r="AD77" i="11"/>
  <c r="AD78" i="11"/>
  <c r="AD79" i="11"/>
  <c r="AD80" i="11"/>
  <c r="AD81" i="11"/>
  <c r="AD82" i="11"/>
  <c r="AD83" i="11"/>
  <c r="AD84" i="11"/>
  <c r="AD85" i="11"/>
  <c r="AD86" i="11"/>
  <c r="AD87" i="11"/>
  <c r="AD88" i="11"/>
  <c r="AD89" i="11"/>
  <c r="AD90" i="11"/>
  <c r="AD91" i="11"/>
  <c r="AD92" i="11"/>
  <c r="AD93" i="11"/>
  <c r="AD94" i="11"/>
  <c r="AD95" i="11"/>
  <c r="AD96" i="11"/>
  <c r="AD97" i="11"/>
  <c r="AD98" i="11"/>
  <c r="AD99" i="11"/>
  <c r="AD100" i="11"/>
  <c r="AD101" i="11"/>
  <c r="AD102" i="11"/>
  <c r="AD103" i="11"/>
  <c r="AD104" i="11"/>
  <c r="AD105" i="11"/>
  <c r="AD106" i="11"/>
  <c r="AD107" i="11"/>
  <c r="AD108" i="11"/>
  <c r="AD109" i="11"/>
  <c r="AD110" i="11"/>
  <c r="AB110" i="11"/>
  <c r="L110" i="11"/>
  <c r="AB109" i="11"/>
  <c r="L109" i="11"/>
  <c r="AB108" i="11"/>
  <c r="L108" i="11"/>
  <c r="AB107" i="11"/>
  <c r="L107" i="11"/>
  <c r="AB106" i="11"/>
  <c r="L106" i="11"/>
  <c r="AB105" i="11"/>
  <c r="L105" i="11"/>
  <c r="AB104" i="11"/>
  <c r="L104" i="11"/>
  <c r="AB103" i="11"/>
  <c r="L103" i="11"/>
  <c r="AB102" i="11"/>
  <c r="L102" i="11"/>
  <c r="AB101" i="11"/>
  <c r="L101" i="11"/>
  <c r="AB100" i="11"/>
  <c r="L100" i="11"/>
  <c r="AB99" i="11"/>
  <c r="L99" i="11"/>
  <c r="AB98" i="11"/>
  <c r="L98" i="11"/>
  <c r="AB97" i="11"/>
  <c r="L97" i="11"/>
  <c r="AB96" i="11"/>
  <c r="L96" i="11"/>
  <c r="AB95" i="11"/>
  <c r="L95" i="11"/>
  <c r="AB94" i="11"/>
  <c r="L94" i="11"/>
  <c r="AB93" i="11"/>
  <c r="L93" i="11"/>
  <c r="AB92" i="11"/>
  <c r="L92" i="11"/>
  <c r="AB91" i="11"/>
  <c r="L91" i="11"/>
  <c r="AB90" i="11"/>
  <c r="L90" i="11"/>
  <c r="AB89" i="11"/>
  <c r="L89" i="11"/>
  <c r="AB88" i="11"/>
  <c r="L88" i="11"/>
  <c r="AB87" i="11"/>
  <c r="L87" i="11"/>
  <c r="AB86" i="11"/>
  <c r="L86" i="11"/>
  <c r="AB85" i="11"/>
  <c r="L85" i="11"/>
  <c r="AB84" i="11"/>
  <c r="L84" i="11"/>
  <c r="AB83" i="11"/>
  <c r="L83" i="11"/>
  <c r="AB82" i="11"/>
  <c r="L82" i="11"/>
  <c r="AB81" i="11"/>
  <c r="L81" i="11"/>
  <c r="AB80" i="11"/>
  <c r="L80" i="11"/>
  <c r="AB79" i="11"/>
  <c r="L79" i="11"/>
  <c r="AB78" i="11"/>
  <c r="L78" i="11"/>
  <c r="AB77" i="11"/>
  <c r="L77" i="11"/>
  <c r="AB76" i="11"/>
  <c r="L76" i="11"/>
  <c r="AB75" i="11"/>
  <c r="L75" i="11"/>
  <c r="AB74" i="11"/>
  <c r="L74" i="11"/>
  <c r="AB73" i="11"/>
  <c r="L73" i="11"/>
  <c r="AB72" i="11"/>
  <c r="L72" i="11"/>
  <c r="AB71" i="11"/>
  <c r="L71" i="11"/>
  <c r="AB70" i="11"/>
  <c r="L70" i="11"/>
  <c r="AB69" i="11"/>
  <c r="L69" i="11"/>
  <c r="AB68" i="11"/>
  <c r="L68" i="11"/>
  <c r="AB67" i="11"/>
  <c r="L67" i="11"/>
  <c r="AB66" i="11"/>
  <c r="L66" i="11"/>
  <c r="AB65" i="11"/>
  <c r="L65" i="11"/>
  <c r="AB64" i="11"/>
  <c r="L64" i="11"/>
  <c r="AB63" i="11"/>
  <c r="L63" i="11"/>
  <c r="AB62" i="11"/>
  <c r="L62" i="11"/>
  <c r="AB61" i="11"/>
  <c r="L61" i="11"/>
  <c r="AB60" i="11"/>
  <c r="L60" i="11"/>
  <c r="AB59" i="11"/>
  <c r="L59" i="11"/>
  <c r="AB58" i="11"/>
  <c r="L58" i="11"/>
  <c r="AB57" i="11"/>
  <c r="L57" i="11"/>
  <c r="AB56" i="11"/>
  <c r="L56" i="11"/>
  <c r="AB55" i="11"/>
  <c r="L55" i="11"/>
  <c r="AB54" i="11"/>
  <c r="L54" i="11"/>
  <c r="AB53" i="11"/>
  <c r="L53" i="11"/>
  <c r="AB52" i="11"/>
  <c r="L52" i="11"/>
  <c r="AB51" i="11"/>
  <c r="L51" i="11"/>
  <c r="AB50" i="11"/>
  <c r="L50" i="11"/>
  <c r="AB49" i="11"/>
  <c r="L49" i="11"/>
  <c r="AB48" i="11"/>
  <c r="L48" i="11"/>
  <c r="AB47" i="11"/>
  <c r="L47" i="11"/>
  <c r="AB46" i="11"/>
  <c r="L46" i="11"/>
  <c r="AB45" i="11"/>
  <c r="L45" i="11"/>
  <c r="AB44" i="11"/>
  <c r="L44" i="11"/>
  <c r="AB43" i="11"/>
  <c r="L43" i="11"/>
  <c r="AB42" i="11"/>
  <c r="L42" i="11"/>
  <c r="AB41" i="11"/>
  <c r="L41" i="11"/>
  <c r="AB40" i="11"/>
  <c r="L40" i="11"/>
  <c r="AB39" i="11"/>
  <c r="L39" i="11"/>
  <c r="AB38" i="11"/>
  <c r="L38" i="11"/>
  <c r="AB37" i="11"/>
  <c r="L37" i="11"/>
  <c r="AB36" i="11"/>
  <c r="L36" i="11"/>
  <c r="AB35" i="11"/>
  <c r="L35" i="11"/>
  <c r="AB34" i="11"/>
  <c r="L34" i="11"/>
  <c r="AB33" i="11"/>
  <c r="L33" i="11"/>
  <c r="AB32" i="11"/>
  <c r="L32" i="11"/>
  <c r="AB31" i="11"/>
  <c r="L31" i="11"/>
  <c r="AB30" i="11"/>
  <c r="L30" i="11"/>
  <c r="AB29" i="11"/>
  <c r="L29" i="11"/>
  <c r="AB28" i="11"/>
  <c r="L28" i="11"/>
  <c r="AB27" i="11"/>
  <c r="L27" i="11"/>
  <c r="AB26" i="11"/>
  <c r="L26" i="11"/>
  <c r="AB25" i="11"/>
  <c r="L25" i="11"/>
  <c r="AB24" i="11"/>
  <c r="L24" i="11"/>
  <c r="AB23" i="11"/>
  <c r="L23" i="11"/>
  <c r="AB22" i="11"/>
  <c r="L22" i="11"/>
  <c r="AB21" i="11"/>
  <c r="L21" i="11"/>
  <c r="AB20" i="11"/>
  <c r="L20" i="11"/>
  <c r="AB19" i="11"/>
  <c r="L19" i="11"/>
  <c r="AB18" i="11"/>
  <c r="L18" i="11"/>
  <c r="AB17" i="11"/>
  <c r="L17" i="11"/>
  <c r="AB16" i="11"/>
  <c r="L16" i="11"/>
  <c r="AB15" i="11"/>
  <c r="L15" i="11"/>
  <c r="AB14" i="11"/>
  <c r="L14" i="11"/>
  <c r="AB13" i="11"/>
  <c r="L13" i="11"/>
  <c r="AB12" i="11"/>
  <c r="L12" i="11"/>
  <c r="AB11" i="11"/>
  <c r="L11" i="11"/>
  <c r="AB10" i="11"/>
  <c r="L10" i="11"/>
  <c r="L5" i="11"/>
  <c r="D53" i="5"/>
  <c r="B22" i="5" l="1"/>
  <c r="C22" i="5"/>
  <c r="AU74" i="9" l="1"/>
  <c r="AU66" i="9"/>
  <c r="AU59" i="9"/>
  <c r="AU51" i="9"/>
  <c r="AU43" i="9"/>
  <c r="AU81" i="9"/>
  <c r="AU87" i="9"/>
  <c r="AU94" i="9"/>
  <c r="AU102" i="9"/>
  <c r="AU40" i="9"/>
  <c r="AU33" i="9"/>
  <c r="AU25" i="9"/>
  <c r="AU17" i="9"/>
  <c r="AU9" i="9"/>
  <c r="AN71" i="9"/>
  <c r="AN79" i="9"/>
  <c r="AN86" i="9"/>
  <c r="AN92" i="9"/>
  <c r="AN99" i="9"/>
  <c r="AN107" i="9"/>
  <c r="AN58" i="9"/>
  <c r="AN51" i="9"/>
  <c r="AN43" i="9"/>
  <c r="AN35" i="9"/>
  <c r="AN27" i="9"/>
  <c r="AN19" i="9"/>
  <c r="AN12" i="9"/>
  <c r="AG100" i="9"/>
  <c r="AG92" i="9"/>
  <c r="AG84" i="9"/>
  <c r="AG76" i="9"/>
  <c r="AG68" i="9"/>
  <c r="AG60" i="9"/>
  <c r="AG52" i="9"/>
  <c r="AG44" i="9"/>
  <c r="AG36" i="9"/>
  <c r="AG29" i="9"/>
  <c r="AG21" i="9"/>
  <c r="AG13" i="9"/>
  <c r="AY101" i="9"/>
  <c r="AZ101" i="9" s="1"/>
  <c r="AU71" i="9"/>
  <c r="AU97" i="9"/>
  <c r="AU22" i="9"/>
  <c r="AN74" i="9"/>
  <c r="AN94" i="9"/>
  <c r="AN55" i="9"/>
  <c r="AN32" i="9"/>
  <c r="AN9" i="9"/>
  <c r="AG97" i="9"/>
  <c r="AG81" i="9"/>
  <c r="AU73" i="9"/>
  <c r="AU65" i="9"/>
  <c r="AU58" i="9"/>
  <c r="AU50" i="9"/>
  <c r="AU42" i="9"/>
  <c r="AU82" i="9"/>
  <c r="AU95" i="9"/>
  <c r="AU103" i="9"/>
  <c r="AU39" i="9"/>
  <c r="AU32" i="9"/>
  <c r="AU24" i="9"/>
  <c r="AU16" i="9"/>
  <c r="AU8" i="9"/>
  <c r="AN72" i="9"/>
  <c r="AN80" i="9"/>
  <c r="AN93" i="9"/>
  <c r="AN100" i="9"/>
  <c r="AN65" i="9"/>
  <c r="AN57" i="9"/>
  <c r="AN50" i="9"/>
  <c r="AN42" i="9"/>
  <c r="AN34" i="9"/>
  <c r="AN26" i="9"/>
  <c r="AN18" i="9"/>
  <c r="AN11" i="9"/>
  <c r="AG107" i="9"/>
  <c r="AG99" i="9"/>
  <c r="AG91" i="9"/>
  <c r="AG83" i="9"/>
  <c r="AG75" i="9"/>
  <c r="AG67" i="9"/>
  <c r="AG59" i="9"/>
  <c r="AG51" i="9"/>
  <c r="AG43" i="9"/>
  <c r="AG35" i="9"/>
  <c r="AG28" i="9"/>
  <c r="AG20" i="9"/>
  <c r="AG12" i="9"/>
  <c r="AY100" i="9"/>
  <c r="AZ100" i="9" s="1"/>
  <c r="AU56" i="9"/>
  <c r="AU76" i="9"/>
  <c r="AU105" i="9"/>
  <c r="AU14" i="9"/>
  <c r="AN82" i="9"/>
  <c r="AN102" i="9"/>
  <c r="AN48" i="9"/>
  <c r="AN24" i="9"/>
  <c r="AU72" i="9"/>
  <c r="AU64" i="9"/>
  <c r="AU57" i="9"/>
  <c r="AU49" i="9"/>
  <c r="AU75" i="9"/>
  <c r="AU83" i="9"/>
  <c r="AU88" i="9"/>
  <c r="AU96" i="9"/>
  <c r="AU104" i="9"/>
  <c r="AU38" i="9"/>
  <c r="AU31" i="9"/>
  <c r="AU23" i="9"/>
  <c r="AU15" i="9"/>
  <c r="AU7" i="9"/>
  <c r="AN73" i="9"/>
  <c r="AN81" i="9"/>
  <c r="AN87" i="9"/>
  <c r="AN101" i="9"/>
  <c r="AN64" i="9"/>
  <c r="AN56" i="9"/>
  <c r="AN49" i="9"/>
  <c r="AN41" i="9"/>
  <c r="AN33" i="9"/>
  <c r="AN25" i="9"/>
  <c r="AN17" i="9"/>
  <c r="AN10" i="9"/>
  <c r="AG106" i="9"/>
  <c r="AG98" i="9"/>
  <c r="AG90" i="9"/>
  <c r="AG82" i="9"/>
  <c r="AG74" i="9"/>
  <c r="AG66" i="9"/>
  <c r="AG58" i="9"/>
  <c r="AG50" i="9"/>
  <c r="AG42" i="9"/>
  <c r="AG34" i="9"/>
  <c r="AG27" i="9"/>
  <c r="AG19" i="9"/>
  <c r="AG11" i="9"/>
  <c r="AY107" i="9"/>
  <c r="AZ107" i="9" s="1"/>
  <c r="AY99" i="9"/>
  <c r="AZ99" i="9" s="1"/>
  <c r="AU48" i="9"/>
  <c r="AU89" i="9"/>
  <c r="AU30" i="9"/>
  <c r="AN66" i="9"/>
  <c r="AN88" i="9"/>
  <c r="AN63" i="9"/>
  <c r="AN40" i="9"/>
  <c r="AN16" i="9"/>
  <c r="AG105" i="9"/>
  <c r="AG89" i="9"/>
  <c r="AU69" i="9"/>
  <c r="AU62" i="9"/>
  <c r="AU54" i="9"/>
  <c r="AU46" i="9"/>
  <c r="AU78" i="9"/>
  <c r="AU91" i="9"/>
  <c r="AU99" i="9"/>
  <c r="AU107" i="9"/>
  <c r="AU36" i="9"/>
  <c r="AU28" i="9"/>
  <c r="AU20" i="9"/>
  <c r="AU12" i="9"/>
  <c r="AN68" i="9"/>
  <c r="AN76" i="9"/>
  <c r="AN84" i="9"/>
  <c r="AN96" i="9"/>
  <c r="AN104" i="9"/>
  <c r="AN61" i="9"/>
  <c r="AN46" i="9"/>
  <c r="AN38" i="9"/>
  <c r="AN30" i="9"/>
  <c r="AN22" i="9"/>
  <c r="AG103" i="9"/>
  <c r="AG95" i="9"/>
  <c r="AG87" i="9"/>
  <c r="AG79" i="9"/>
  <c r="AG71" i="9"/>
  <c r="AG63" i="9"/>
  <c r="AG55" i="9"/>
  <c r="AG47" i="9"/>
  <c r="AG39" i="9"/>
  <c r="AG24" i="9"/>
  <c r="AG16" i="9"/>
  <c r="AG8" i="9"/>
  <c r="AY104" i="9"/>
  <c r="AZ104" i="9" s="1"/>
  <c r="AU60" i="9"/>
  <c r="AU44" i="9"/>
  <c r="AU86" i="9"/>
  <c r="AU101" i="9"/>
  <c r="AU34" i="9"/>
  <c r="AU18" i="9"/>
  <c r="AN70" i="9"/>
  <c r="AN91" i="9"/>
  <c r="AN106" i="9"/>
  <c r="AN52" i="9"/>
  <c r="AN36" i="9"/>
  <c r="AN20" i="9"/>
  <c r="AU68" i="9"/>
  <c r="AU61" i="9"/>
  <c r="AU53" i="9"/>
  <c r="AU45" i="9"/>
  <c r="AU79" i="9"/>
  <c r="AU85" i="9"/>
  <c r="AU92" i="9"/>
  <c r="AU100" i="9"/>
  <c r="AU41" i="9"/>
  <c r="AU35" i="9"/>
  <c r="AU27" i="9"/>
  <c r="AU19" i="9"/>
  <c r="AU11" i="9"/>
  <c r="AN69" i="9"/>
  <c r="AN77" i="9"/>
  <c r="AN85" i="9"/>
  <c r="AN90" i="9"/>
  <c r="AN97" i="9"/>
  <c r="AN105" i="9"/>
  <c r="AN60" i="9"/>
  <c r="AN53" i="9"/>
  <c r="AN45" i="9"/>
  <c r="AN37" i="9"/>
  <c r="AN29" i="9"/>
  <c r="AN21" i="9"/>
  <c r="AN14" i="9"/>
  <c r="AG102" i="9"/>
  <c r="AG94" i="9"/>
  <c r="AG86" i="9"/>
  <c r="AG78" i="9"/>
  <c r="AG70" i="9"/>
  <c r="AG62" i="9"/>
  <c r="AG54" i="9"/>
  <c r="AG46" i="9"/>
  <c r="AG38" i="9"/>
  <c r="AG31" i="9"/>
  <c r="AG23" i="9"/>
  <c r="AG15" i="9"/>
  <c r="AY103" i="9"/>
  <c r="AZ103" i="9" s="1"/>
  <c r="AU67" i="9"/>
  <c r="AU52" i="9"/>
  <c r="AU80" i="9"/>
  <c r="AU93" i="9"/>
  <c r="AU26" i="9"/>
  <c r="AU10" i="9"/>
  <c r="AN78" i="9"/>
  <c r="AN98" i="9"/>
  <c r="AN59" i="9"/>
  <c r="AN44" i="9"/>
  <c r="AN28" i="9"/>
  <c r="AN13" i="9"/>
  <c r="AU70" i="9"/>
  <c r="AU106" i="9"/>
  <c r="AN89" i="9"/>
  <c r="AN23" i="9"/>
  <c r="AG80" i="9"/>
  <c r="AG57" i="9"/>
  <c r="AG37" i="9"/>
  <c r="AG17" i="9"/>
  <c r="AG14" i="9"/>
  <c r="AG64" i="9"/>
  <c r="AU63" i="9"/>
  <c r="AU37" i="9"/>
  <c r="AN95" i="9"/>
  <c r="AN15" i="9"/>
  <c r="AG77" i="9"/>
  <c r="AG56" i="9"/>
  <c r="AG33" i="9"/>
  <c r="AY106" i="9"/>
  <c r="AZ106" i="9" s="1"/>
  <c r="AG22" i="9"/>
  <c r="AU55" i="9"/>
  <c r="AU29" i="9"/>
  <c r="AN103" i="9"/>
  <c r="AN8" i="9"/>
  <c r="AG104" i="9"/>
  <c r="AG73" i="9"/>
  <c r="AG53" i="9"/>
  <c r="AG32" i="9"/>
  <c r="AG10" i="9"/>
  <c r="AY105" i="9"/>
  <c r="AZ105" i="9" s="1"/>
  <c r="AN39" i="9"/>
  <c r="AU47" i="9"/>
  <c r="AU21" i="9"/>
  <c r="AN62" i="9"/>
  <c r="AG101" i="9"/>
  <c r="AG72" i="9"/>
  <c r="AG49" i="9"/>
  <c r="AG30" i="9"/>
  <c r="AG9" i="9"/>
  <c r="AY102" i="9"/>
  <c r="AZ102" i="9" s="1"/>
  <c r="AU90" i="9"/>
  <c r="AU77" i="9"/>
  <c r="AU13" i="9"/>
  <c r="AN54" i="9"/>
  <c r="AG96" i="9"/>
  <c r="AG69" i="9"/>
  <c r="AG48" i="9"/>
  <c r="AG26" i="9"/>
  <c r="AG25" i="9"/>
  <c r="AN75" i="9"/>
  <c r="AU84" i="9"/>
  <c r="AN67" i="9"/>
  <c r="AN47" i="9"/>
  <c r="AG93" i="9"/>
  <c r="AG65" i="9"/>
  <c r="AG45" i="9"/>
  <c r="AG41" i="9"/>
  <c r="AU98" i="9"/>
  <c r="AN83" i="9"/>
  <c r="AN31" i="9"/>
  <c r="AG85" i="9"/>
  <c r="AG61" i="9"/>
  <c r="AG40" i="9"/>
  <c r="AG18" i="9"/>
  <c r="AG88" i="9"/>
  <c r="AY90" i="9"/>
  <c r="AZ90" i="9" s="1"/>
  <c r="AY96" i="9"/>
  <c r="AZ96" i="9" s="1"/>
  <c r="AY88" i="9"/>
  <c r="AZ88" i="9" s="1"/>
  <c r="AY80" i="9"/>
  <c r="AZ80" i="9" s="1"/>
  <c r="AY72" i="9"/>
  <c r="AZ72" i="9" s="1"/>
  <c r="AY95" i="9"/>
  <c r="AZ95" i="9" s="1"/>
  <c r="AY87" i="9"/>
  <c r="AZ87" i="9" s="1"/>
  <c r="AY79" i="9"/>
  <c r="AZ79" i="9" s="1"/>
  <c r="AY71" i="9"/>
  <c r="AZ71" i="9" s="1"/>
  <c r="AY94" i="9"/>
  <c r="AZ94" i="9" s="1"/>
  <c r="AY78" i="9"/>
  <c r="AZ78" i="9" s="1"/>
  <c r="AY93" i="9"/>
  <c r="AZ93" i="9" s="1"/>
  <c r="AY77" i="9"/>
  <c r="AZ77" i="9" s="1"/>
  <c r="AY73" i="9"/>
  <c r="AZ73" i="9" s="1"/>
  <c r="AY85" i="9"/>
  <c r="AZ85" i="9" s="1"/>
  <c r="AY86" i="9"/>
  <c r="AZ86" i="9" s="1"/>
  <c r="AY92" i="9"/>
  <c r="AZ92" i="9" s="1"/>
  <c r="AY84" i="9"/>
  <c r="AZ84" i="9" s="1"/>
  <c r="AY76" i="9"/>
  <c r="AZ76" i="9" s="1"/>
  <c r="AY91" i="9"/>
  <c r="AZ91" i="9" s="1"/>
  <c r="AY83" i="9"/>
  <c r="AZ83" i="9" s="1"/>
  <c r="AY75" i="9"/>
  <c r="AZ75" i="9" s="1"/>
  <c r="AY98" i="9"/>
  <c r="AZ98" i="9" s="1"/>
  <c r="AY82" i="9"/>
  <c r="AZ82" i="9" s="1"/>
  <c r="AY74" i="9"/>
  <c r="AZ74" i="9" s="1"/>
  <c r="AY97" i="9"/>
  <c r="AZ97" i="9" s="1"/>
  <c r="AY89" i="9"/>
  <c r="AZ89" i="9" s="1"/>
  <c r="AY81" i="9"/>
  <c r="AZ81" i="9" s="1"/>
  <c r="AY70" i="9"/>
  <c r="AZ70" i="9" s="1"/>
  <c r="AY63" i="9"/>
  <c r="AZ63" i="9" s="1"/>
  <c r="AY56" i="9"/>
  <c r="AZ56" i="9" s="1"/>
  <c r="AY48" i="9"/>
  <c r="AZ48" i="9" s="1"/>
  <c r="AY35" i="9"/>
  <c r="AZ35" i="9" s="1"/>
  <c r="AY28" i="9"/>
  <c r="AZ28" i="9" s="1"/>
  <c r="AY20" i="9"/>
  <c r="AZ20" i="9" s="1"/>
  <c r="AY13" i="9"/>
  <c r="AZ13" i="9" s="1"/>
  <c r="AN7" i="9"/>
  <c r="AY7" i="9"/>
  <c r="AZ7" i="9" s="1"/>
  <c r="AY22" i="9"/>
  <c r="AZ22" i="9" s="1"/>
  <c r="AY15" i="9"/>
  <c r="AZ15" i="9" s="1"/>
  <c r="AY69" i="9"/>
  <c r="AZ69" i="9" s="1"/>
  <c r="AY55" i="9"/>
  <c r="AZ55" i="9" s="1"/>
  <c r="AY47" i="9"/>
  <c r="AZ47" i="9" s="1"/>
  <c r="AY42" i="9"/>
  <c r="AZ42" i="9" s="1"/>
  <c r="AY34" i="9"/>
  <c r="AZ34" i="9" s="1"/>
  <c r="AY27" i="9"/>
  <c r="AZ27" i="9" s="1"/>
  <c r="AY19" i="9"/>
  <c r="AZ19" i="9" s="1"/>
  <c r="AY12" i="9"/>
  <c r="AZ12" i="9" s="1"/>
  <c r="AY44" i="9"/>
  <c r="AZ44" i="9" s="1"/>
  <c r="AY68" i="9"/>
  <c r="AZ68" i="9" s="1"/>
  <c r="AY62" i="9"/>
  <c r="AZ62" i="9" s="1"/>
  <c r="AY54" i="9"/>
  <c r="AZ54" i="9" s="1"/>
  <c r="AY41" i="9"/>
  <c r="AZ41" i="9" s="1"/>
  <c r="AY33" i="9"/>
  <c r="AZ33" i="9" s="1"/>
  <c r="AY26" i="9"/>
  <c r="AZ26" i="9" s="1"/>
  <c r="AY11" i="9"/>
  <c r="AZ11" i="9" s="1"/>
  <c r="AY37" i="9"/>
  <c r="AZ37" i="9" s="1"/>
  <c r="AY67" i="9"/>
  <c r="AZ67" i="9" s="1"/>
  <c r="AY61" i="9"/>
  <c r="AZ61" i="9" s="1"/>
  <c r="AY53" i="9"/>
  <c r="AZ53" i="9" s="1"/>
  <c r="AY46" i="9"/>
  <c r="AZ46" i="9" s="1"/>
  <c r="AY40" i="9"/>
  <c r="AZ40" i="9" s="1"/>
  <c r="AY32" i="9"/>
  <c r="AZ32" i="9" s="1"/>
  <c r="AY25" i="9"/>
  <c r="AZ25" i="9" s="1"/>
  <c r="AY18" i="9"/>
  <c r="AZ18" i="9" s="1"/>
  <c r="AY10" i="9"/>
  <c r="AZ10" i="9" s="1"/>
  <c r="AY50" i="9"/>
  <c r="AZ50" i="9" s="1"/>
  <c r="AY60" i="9"/>
  <c r="AZ60" i="9" s="1"/>
  <c r="AY52" i="9"/>
  <c r="AZ52" i="9" s="1"/>
  <c r="AY45" i="9"/>
  <c r="AZ45" i="9" s="1"/>
  <c r="AY39" i="9"/>
  <c r="AZ39" i="9" s="1"/>
  <c r="AY24" i="9"/>
  <c r="AZ24" i="9" s="1"/>
  <c r="AY17" i="9"/>
  <c r="AZ17" i="9" s="1"/>
  <c r="AY9" i="9"/>
  <c r="AZ9" i="9" s="1"/>
  <c r="AY58" i="9"/>
  <c r="AZ58" i="9" s="1"/>
  <c r="AY66" i="9"/>
  <c r="AZ66" i="9" s="1"/>
  <c r="AY59" i="9"/>
  <c r="AZ59" i="9" s="1"/>
  <c r="AY51" i="9"/>
  <c r="AZ51" i="9" s="1"/>
  <c r="AY38" i="9"/>
  <c r="AZ38" i="9" s="1"/>
  <c r="AY31" i="9"/>
  <c r="AZ31" i="9" s="1"/>
  <c r="AY23" i="9"/>
  <c r="AZ23" i="9" s="1"/>
  <c r="AY16" i="9"/>
  <c r="AZ16" i="9" s="1"/>
  <c r="AY8" i="9"/>
  <c r="AZ8" i="9" s="1"/>
  <c r="AG7" i="9"/>
  <c r="AY65" i="9"/>
  <c r="AZ65" i="9" s="1"/>
  <c r="AY64" i="9"/>
  <c r="AZ64" i="9" s="1"/>
  <c r="AY57" i="9"/>
  <c r="AZ57" i="9" s="1"/>
  <c r="AY49" i="9"/>
  <c r="AZ49" i="9" s="1"/>
  <c r="AY43" i="9"/>
  <c r="AZ43" i="9" s="1"/>
  <c r="AY36" i="9"/>
  <c r="AZ36" i="9" s="1"/>
  <c r="AY29" i="9"/>
  <c r="AZ29" i="9" s="1"/>
  <c r="AY21" i="9"/>
  <c r="AZ21" i="9" s="1"/>
  <c r="AY14" i="9"/>
  <c r="AZ14" i="9" s="1"/>
  <c r="AY30" i="9"/>
  <c r="AZ30" i="9" s="1"/>
  <c r="D18" i="7"/>
  <c r="Z67" i="9" l="1"/>
  <c r="BA67" i="9" s="1"/>
  <c r="Z101" i="9"/>
  <c r="BA101" i="9" s="1"/>
  <c r="Z43" i="9"/>
  <c r="BA43" i="9" s="1"/>
  <c r="Z23" i="9"/>
  <c r="BA23" i="9" s="1"/>
  <c r="Z17" i="9"/>
  <c r="BA17" i="9" s="1"/>
  <c r="Z18" i="9"/>
  <c r="BA18" i="9" s="1"/>
  <c r="Z37" i="9"/>
  <c r="BA37" i="9" s="1"/>
  <c r="Z44" i="9"/>
  <c r="BA44" i="9" s="1"/>
  <c r="Z69" i="9"/>
  <c r="BA69" i="9" s="1"/>
  <c r="Z35" i="9"/>
  <c r="BA35" i="9" s="1"/>
  <c r="Z74" i="9"/>
  <c r="BA74" i="9" s="1"/>
  <c r="Z92" i="9"/>
  <c r="BA92" i="9" s="1"/>
  <c r="Z71" i="9"/>
  <c r="BA71" i="9" s="1"/>
  <c r="Z90" i="9"/>
  <c r="BA90" i="9" s="1"/>
  <c r="Z104" i="9"/>
  <c r="BA104" i="9" s="1"/>
  <c r="Z36" i="9"/>
  <c r="BA36" i="9" s="1"/>
  <c r="Z55" i="9"/>
  <c r="BA55" i="9" s="1"/>
  <c r="Z31" i="9"/>
  <c r="BA31" i="9" s="1"/>
  <c r="Z10" i="9"/>
  <c r="BA10" i="9" s="1"/>
  <c r="Z84" i="9"/>
  <c r="BA84" i="9" s="1"/>
  <c r="Z96" i="9"/>
  <c r="BA96" i="9" s="1"/>
  <c r="Z49" i="9"/>
  <c r="BA49" i="9" s="1"/>
  <c r="Z12" i="9"/>
  <c r="BA12" i="9" s="1"/>
  <c r="Z86" i="9"/>
  <c r="BA86" i="9" s="1"/>
  <c r="Z19" i="9"/>
  <c r="BA19" i="9" s="1"/>
  <c r="Z102" i="9"/>
  <c r="BA102" i="9" s="1"/>
  <c r="Z45" i="9"/>
  <c r="BA45" i="9" s="1"/>
  <c r="Z27" i="9"/>
  <c r="BA27" i="9" s="1"/>
  <c r="Z7" i="9"/>
  <c r="BA7" i="9" s="1"/>
  <c r="Z63" i="9"/>
  <c r="BA63" i="9" s="1"/>
  <c r="Z75" i="9"/>
  <c r="BA75" i="9" s="1"/>
  <c r="Z73" i="9"/>
  <c r="BA73" i="9" s="1"/>
  <c r="Z95" i="9"/>
  <c r="BA95" i="9" s="1"/>
  <c r="Z68" i="9"/>
  <c r="BA68" i="9" s="1"/>
  <c r="Z24" i="9"/>
  <c r="BA24" i="9" s="1"/>
  <c r="Z15" i="9"/>
  <c r="BA15" i="9" s="1"/>
  <c r="Z57" i="9"/>
  <c r="BA57" i="9" s="1"/>
  <c r="Z32" i="9"/>
  <c r="BA32" i="9" s="1"/>
  <c r="Z98" i="9"/>
  <c r="BA98" i="9" s="1"/>
  <c r="Z87" i="9"/>
  <c r="BA87" i="9" s="1"/>
  <c r="Z30" i="9"/>
  <c r="BA30" i="9" s="1"/>
  <c r="Z40" i="9"/>
  <c r="BA40" i="9" s="1"/>
  <c r="Z65" i="9"/>
  <c r="BA65" i="9" s="1"/>
  <c r="Z41" i="9"/>
  <c r="BA41" i="9" s="1"/>
  <c r="Z70" i="9"/>
  <c r="BA70" i="9" s="1"/>
  <c r="Z83" i="9"/>
  <c r="BA83" i="9" s="1"/>
  <c r="Z77" i="9"/>
  <c r="BA77" i="9" s="1"/>
  <c r="Z72" i="9"/>
  <c r="BA72" i="9" s="1"/>
  <c r="Z105" i="9"/>
  <c r="BA105" i="9" s="1"/>
  <c r="Z9" i="9"/>
  <c r="BA9" i="9" s="1"/>
  <c r="Z97" i="9"/>
  <c r="BA97" i="9" s="1"/>
  <c r="Z106" i="9"/>
  <c r="BA106" i="9" s="1"/>
  <c r="Z25" i="9"/>
  <c r="BA25" i="9" s="1"/>
  <c r="Z82" i="9"/>
  <c r="BA82" i="9" s="1"/>
  <c r="Z38" i="9"/>
  <c r="BA38" i="9" s="1"/>
  <c r="Z26" i="9"/>
  <c r="BA26" i="9" s="1"/>
  <c r="Z56" i="9"/>
  <c r="BA56" i="9" s="1"/>
  <c r="Z64" i="9"/>
  <c r="BA64" i="9" s="1"/>
  <c r="Z33" i="9"/>
  <c r="BA33" i="9" s="1"/>
  <c r="Z52" i="9"/>
  <c r="BA52" i="9" s="1"/>
  <c r="Z34" i="9"/>
  <c r="BA34" i="9" s="1"/>
  <c r="Z21" i="9"/>
  <c r="BA21" i="9" s="1"/>
  <c r="Z60" i="9"/>
  <c r="BA60" i="9" s="1"/>
  <c r="Z53" i="9"/>
  <c r="BA53" i="9" s="1"/>
  <c r="Z54" i="9"/>
  <c r="BA54" i="9" s="1"/>
  <c r="Z42" i="9"/>
  <c r="BA42" i="9" s="1"/>
  <c r="Z13" i="9"/>
  <c r="BA13" i="9" s="1"/>
  <c r="Z81" i="9"/>
  <c r="BA81" i="9" s="1"/>
  <c r="Z91" i="9"/>
  <c r="BA91" i="9" s="1"/>
  <c r="Z93" i="9"/>
  <c r="BA93" i="9" s="1"/>
  <c r="Z80" i="9"/>
  <c r="BA80" i="9" s="1"/>
  <c r="Z103" i="9"/>
  <c r="BA103" i="9" s="1"/>
  <c r="Z99" i="9"/>
  <c r="BA99" i="9" s="1"/>
  <c r="Z16" i="9"/>
  <c r="BA16" i="9" s="1"/>
  <c r="Z28" i="9"/>
  <c r="BA28" i="9" s="1"/>
  <c r="Z94" i="9"/>
  <c r="BA94" i="9" s="1"/>
  <c r="Z11" i="9"/>
  <c r="BA11" i="9" s="1"/>
  <c r="Z48" i="9"/>
  <c r="BA48" i="9" s="1"/>
  <c r="Z79" i="9"/>
  <c r="BA79" i="9" s="1"/>
  <c r="Z39" i="9"/>
  <c r="BA39" i="9" s="1"/>
  <c r="Z22" i="9"/>
  <c r="BA22" i="9" s="1"/>
  <c r="Z85" i="9"/>
  <c r="BA85" i="9" s="1"/>
  <c r="Z51" i="9"/>
  <c r="BA51" i="9" s="1"/>
  <c r="Z14" i="9"/>
  <c r="BA14" i="9" s="1"/>
  <c r="Z59" i="9"/>
  <c r="BA59" i="9" s="1"/>
  <c r="Z46" i="9"/>
  <c r="BA46" i="9" s="1"/>
  <c r="Z66" i="9"/>
  <c r="BA66" i="9" s="1"/>
  <c r="Z29" i="9"/>
  <c r="BA29" i="9" s="1"/>
  <c r="Z8" i="9"/>
  <c r="BA8" i="9" s="1"/>
  <c r="Z58" i="9"/>
  <c r="BA58" i="9" s="1"/>
  <c r="Z50" i="9"/>
  <c r="BA50" i="9" s="1"/>
  <c r="Z61" i="9"/>
  <c r="BA61" i="9" s="1"/>
  <c r="Z62" i="9"/>
  <c r="BA62" i="9" s="1"/>
  <c r="Z47" i="9"/>
  <c r="BA47" i="9" s="1"/>
  <c r="Z20" i="9"/>
  <c r="BA20" i="9" s="1"/>
  <c r="Z89" i="9"/>
  <c r="BA89" i="9" s="1"/>
  <c r="Z76" i="9"/>
  <c r="BA76" i="9" s="1"/>
  <c r="Z78" i="9"/>
  <c r="BA78" i="9" s="1"/>
  <c r="Z88" i="9"/>
  <c r="BA88" i="9" s="1"/>
  <c r="Z107" i="9"/>
  <c r="BA107" i="9" s="1"/>
  <c r="Z100" i="9"/>
  <c r="BA100" i="9" s="1"/>
  <c r="D47" i="4"/>
  <c r="BB7" i="9" l="1"/>
  <c r="BD7" i="9" s="1"/>
  <c r="BC7" i="9"/>
  <c r="BB20" i="9"/>
  <c r="BD20" i="9" s="1"/>
  <c r="BE20" i="9" s="1"/>
  <c r="BC20" i="9"/>
  <c r="BC66" i="9"/>
  <c r="BB66" i="9"/>
  <c r="BD66" i="9" s="1"/>
  <c r="BE66" i="9" s="1"/>
  <c r="BC79" i="9"/>
  <c r="BB79" i="9"/>
  <c r="BD79" i="9" s="1"/>
  <c r="BE79" i="9" s="1"/>
  <c r="BB28" i="9"/>
  <c r="BD28" i="9" s="1"/>
  <c r="BE28" i="9" s="1"/>
  <c r="BC28" i="9"/>
  <c r="BC13" i="9"/>
  <c r="BB13" i="9"/>
  <c r="BD13" i="9" s="1"/>
  <c r="BE13" i="9" s="1"/>
  <c r="BC33" i="9"/>
  <c r="BB33" i="9"/>
  <c r="BD33" i="9" s="1"/>
  <c r="BE33" i="9" s="1"/>
  <c r="BC97" i="9"/>
  <c r="BB97" i="9"/>
  <c r="BD97" i="9" s="1"/>
  <c r="BE97" i="9" s="1"/>
  <c r="BB77" i="9"/>
  <c r="BD77" i="9" s="1"/>
  <c r="BE77" i="9" s="1"/>
  <c r="BC77" i="9"/>
  <c r="BC98" i="9"/>
  <c r="BB98" i="9"/>
  <c r="BD98" i="9" s="1"/>
  <c r="BE98" i="9" s="1"/>
  <c r="BC24" i="9"/>
  <c r="BB24" i="9"/>
  <c r="BD24" i="9" s="1"/>
  <c r="BE24" i="9" s="1"/>
  <c r="BB75" i="9"/>
  <c r="BD75" i="9" s="1"/>
  <c r="BE75" i="9" s="1"/>
  <c r="BC75" i="9"/>
  <c r="BB45" i="9"/>
  <c r="BD45" i="9" s="1"/>
  <c r="BE45" i="9" s="1"/>
  <c r="BC45" i="9"/>
  <c r="BB12" i="9"/>
  <c r="BD12" i="9" s="1"/>
  <c r="BE12" i="9" s="1"/>
  <c r="BC12" i="9"/>
  <c r="BB10" i="9"/>
  <c r="BD10" i="9" s="1"/>
  <c r="BE10" i="9" s="1"/>
  <c r="BC10" i="9"/>
  <c r="BC104" i="9"/>
  <c r="BB104" i="9"/>
  <c r="BD104" i="9" s="1"/>
  <c r="BE104" i="9" s="1"/>
  <c r="BC74" i="9"/>
  <c r="BB74" i="9"/>
  <c r="BD74" i="9" s="1"/>
  <c r="BE74" i="9" s="1"/>
  <c r="BB37" i="9"/>
  <c r="BD37" i="9" s="1"/>
  <c r="BE37" i="9" s="1"/>
  <c r="BC37" i="9"/>
  <c r="BB43" i="9"/>
  <c r="BD43" i="9" s="1"/>
  <c r="BE43" i="9" s="1"/>
  <c r="BC43" i="9"/>
  <c r="BC88" i="9"/>
  <c r="BB88" i="9"/>
  <c r="BD88" i="9" s="1"/>
  <c r="BE88" i="9" s="1"/>
  <c r="BB50" i="9"/>
  <c r="BD50" i="9" s="1"/>
  <c r="BE50" i="9" s="1"/>
  <c r="BC50" i="9"/>
  <c r="BB51" i="9"/>
  <c r="BD51" i="9" s="1"/>
  <c r="BE51" i="9" s="1"/>
  <c r="BC51" i="9"/>
  <c r="BC80" i="9"/>
  <c r="BB80" i="9"/>
  <c r="BD80" i="9" s="1"/>
  <c r="BE80" i="9" s="1"/>
  <c r="BB60" i="9"/>
  <c r="BD60" i="9" s="1"/>
  <c r="BE60" i="9" s="1"/>
  <c r="BC60" i="9"/>
  <c r="BB38" i="9"/>
  <c r="BD38" i="9" s="1"/>
  <c r="BE38" i="9" s="1"/>
  <c r="BC38" i="9"/>
  <c r="BB65" i="9"/>
  <c r="BD65" i="9" s="1"/>
  <c r="BE65" i="9" s="1"/>
  <c r="BC65" i="9"/>
  <c r="BC58" i="9"/>
  <c r="BB58" i="9"/>
  <c r="BD58" i="9" s="1"/>
  <c r="BE58" i="9" s="1"/>
  <c r="BB85" i="9"/>
  <c r="BD85" i="9" s="1"/>
  <c r="BE85" i="9" s="1"/>
  <c r="BC85" i="9"/>
  <c r="BC16" i="9"/>
  <c r="BB16" i="9"/>
  <c r="BD16" i="9" s="1"/>
  <c r="BE16" i="9" s="1"/>
  <c r="BB42" i="9"/>
  <c r="BD42" i="9" s="1"/>
  <c r="BE42" i="9" s="1"/>
  <c r="BC42" i="9"/>
  <c r="BC64" i="9"/>
  <c r="BB64" i="9"/>
  <c r="BD64" i="9" s="1"/>
  <c r="BE64" i="9" s="1"/>
  <c r="BB9" i="9"/>
  <c r="BD9" i="9" s="1"/>
  <c r="BE9" i="9" s="1"/>
  <c r="BC9" i="9"/>
  <c r="BC40" i="9"/>
  <c r="BB40" i="9"/>
  <c r="BD40" i="9" s="1"/>
  <c r="BE40" i="9" s="1"/>
  <c r="BC32" i="9"/>
  <c r="BB32" i="9"/>
  <c r="BD32" i="9" s="1"/>
  <c r="BE32" i="9" s="1"/>
  <c r="BB68" i="9"/>
  <c r="BD68" i="9" s="1"/>
  <c r="BE68" i="9" s="1"/>
  <c r="BC68" i="9"/>
  <c r="BC102" i="9"/>
  <c r="BB102" i="9"/>
  <c r="BD102" i="9" s="1"/>
  <c r="BE102" i="9" s="1"/>
  <c r="BC49" i="9"/>
  <c r="BB49" i="9"/>
  <c r="BD49" i="9" s="1"/>
  <c r="BE49" i="9" s="1"/>
  <c r="BC31" i="9"/>
  <c r="BB31" i="9"/>
  <c r="BD31" i="9" s="1"/>
  <c r="BE31" i="9" s="1"/>
  <c r="BB90" i="9"/>
  <c r="BD90" i="9" s="1"/>
  <c r="BE90" i="9" s="1"/>
  <c r="BC90" i="9"/>
  <c r="BB35" i="9"/>
  <c r="BD35" i="9" s="1"/>
  <c r="BE35" i="9" s="1"/>
  <c r="BC35" i="9"/>
  <c r="BB18" i="9"/>
  <c r="BD18" i="9" s="1"/>
  <c r="BE18" i="9" s="1"/>
  <c r="BC18" i="9"/>
  <c r="BC101" i="9"/>
  <c r="BB101" i="9"/>
  <c r="BD101" i="9" s="1"/>
  <c r="BE101" i="9" s="1"/>
  <c r="BC47" i="9"/>
  <c r="BB47" i="9"/>
  <c r="BD47" i="9" s="1"/>
  <c r="BE47" i="9" s="1"/>
  <c r="BB46" i="9"/>
  <c r="BD46" i="9" s="1"/>
  <c r="BE46" i="9" s="1"/>
  <c r="BC46" i="9"/>
  <c r="BC48" i="9"/>
  <c r="BB48" i="9"/>
  <c r="BD48" i="9" s="1"/>
  <c r="BE48" i="9" s="1"/>
  <c r="BC93" i="9"/>
  <c r="BB93" i="9"/>
  <c r="BD93" i="9" s="1"/>
  <c r="BE93" i="9" s="1"/>
  <c r="BB21" i="9"/>
  <c r="BD21" i="9" s="1"/>
  <c r="BE21" i="9" s="1"/>
  <c r="BC21" i="9"/>
  <c r="BB82" i="9"/>
  <c r="BD82" i="9" s="1"/>
  <c r="BE82" i="9" s="1"/>
  <c r="BC82" i="9"/>
  <c r="BB83" i="9"/>
  <c r="BD83" i="9" s="1"/>
  <c r="BE83" i="9" s="1"/>
  <c r="BC83" i="9"/>
  <c r="BC63" i="9"/>
  <c r="BB63" i="9"/>
  <c r="BD63" i="9" s="1"/>
  <c r="BE63" i="9" s="1"/>
  <c r="BB78" i="9"/>
  <c r="BD78" i="9" s="1"/>
  <c r="BE78" i="9" s="1"/>
  <c r="BC78" i="9"/>
  <c r="BB76" i="9"/>
  <c r="BD76" i="9" s="1"/>
  <c r="BE76" i="9" s="1"/>
  <c r="BC76" i="9"/>
  <c r="BC8" i="9"/>
  <c r="BB8" i="9"/>
  <c r="BD8" i="9" s="1"/>
  <c r="BE8" i="9" s="1"/>
  <c r="BC22" i="9"/>
  <c r="BB22" i="9"/>
  <c r="BD22" i="9" s="1"/>
  <c r="BE22" i="9" s="1"/>
  <c r="BB99" i="9"/>
  <c r="BD99" i="9" s="1"/>
  <c r="BE99" i="9" s="1"/>
  <c r="BC99" i="9"/>
  <c r="BB54" i="9"/>
  <c r="BD54" i="9" s="1"/>
  <c r="BE54" i="9" s="1"/>
  <c r="BC54" i="9"/>
  <c r="BC56" i="9"/>
  <c r="BB56" i="9"/>
  <c r="BD56" i="9" s="1"/>
  <c r="BE56" i="9" s="1"/>
  <c r="BB105" i="9"/>
  <c r="BD105" i="9" s="1"/>
  <c r="BE105" i="9" s="1"/>
  <c r="BC105" i="9"/>
  <c r="BC70" i="9"/>
  <c r="BB70" i="9"/>
  <c r="BD70" i="9" s="1"/>
  <c r="BE70" i="9" s="1"/>
  <c r="BC57" i="9"/>
  <c r="BB57" i="9"/>
  <c r="BD57" i="9" s="1"/>
  <c r="BE57" i="9" s="1"/>
  <c r="BC95" i="9"/>
  <c r="BB95" i="9"/>
  <c r="BD95" i="9" s="1"/>
  <c r="BE95" i="9" s="1"/>
  <c r="BB19" i="9"/>
  <c r="BD19" i="9" s="1"/>
  <c r="BE19" i="9" s="1"/>
  <c r="BC19" i="9"/>
  <c r="BC96" i="9"/>
  <c r="BB96" i="9"/>
  <c r="BD96" i="9" s="1"/>
  <c r="BE96" i="9" s="1"/>
  <c r="BC55" i="9"/>
  <c r="BB55" i="9"/>
  <c r="BD55" i="9" s="1"/>
  <c r="BE55" i="9" s="1"/>
  <c r="BC71" i="9"/>
  <c r="BB71" i="9"/>
  <c r="BD71" i="9" s="1"/>
  <c r="BE71" i="9" s="1"/>
  <c r="BB69" i="9"/>
  <c r="BD69" i="9" s="1"/>
  <c r="BE69" i="9" s="1"/>
  <c r="BC69" i="9"/>
  <c r="BB17" i="9"/>
  <c r="BD17" i="9" s="1"/>
  <c r="BE17" i="9" s="1"/>
  <c r="BC17" i="9"/>
  <c r="BB67" i="9"/>
  <c r="BD67" i="9" s="1"/>
  <c r="BE67" i="9" s="1"/>
  <c r="BC67" i="9"/>
  <c r="BB107" i="9"/>
  <c r="BD107" i="9" s="1"/>
  <c r="BE107" i="9" s="1"/>
  <c r="BC107" i="9"/>
  <c r="BB100" i="9"/>
  <c r="BD100" i="9" s="1"/>
  <c r="BE100" i="9" s="1"/>
  <c r="BC100" i="9"/>
  <c r="BC62" i="9"/>
  <c r="BB62" i="9"/>
  <c r="BD62" i="9" s="1"/>
  <c r="BE62" i="9" s="1"/>
  <c r="BB59" i="9"/>
  <c r="BD59" i="9" s="1"/>
  <c r="BE59" i="9" s="1"/>
  <c r="BC59" i="9"/>
  <c r="BB11" i="9"/>
  <c r="BD11" i="9" s="1"/>
  <c r="BE11" i="9" s="1"/>
  <c r="BC11" i="9"/>
  <c r="BB91" i="9"/>
  <c r="BD91" i="9" s="1"/>
  <c r="BE91" i="9" s="1"/>
  <c r="BC91" i="9"/>
  <c r="BC34" i="9"/>
  <c r="BB34" i="9"/>
  <c r="BD34" i="9" s="1"/>
  <c r="BE34" i="9" s="1"/>
  <c r="BC25" i="9"/>
  <c r="BB25" i="9"/>
  <c r="BD25" i="9" s="1"/>
  <c r="BE25" i="9" s="1"/>
  <c r="BC30" i="9"/>
  <c r="BB30" i="9"/>
  <c r="BD30" i="9" s="1"/>
  <c r="BE30" i="9" s="1"/>
  <c r="BC89" i="9"/>
  <c r="BB89" i="9"/>
  <c r="BD89" i="9" s="1"/>
  <c r="BE89" i="9" s="1"/>
  <c r="BC61" i="9"/>
  <c r="BB61" i="9"/>
  <c r="BD61" i="9" s="1"/>
  <c r="BE61" i="9" s="1"/>
  <c r="BB29" i="9"/>
  <c r="BD29" i="9" s="1"/>
  <c r="BE29" i="9" s="1"/>
  <c r="BC29" i="9"/>
  <c r="BB14" i="9"/>
  <c r="BD14" i="9" s="1"/>
  <c r="BE14" i="9" s="1"/>
  <c r="BC14" i="9"/>
  <c r="BC39" i="9"/>
  <c r="BB39" i="9"/>
  <c r="BD39" i="9" s="1"/>
  <c r="BE39" i="9" s="1"/>
  <c r="BB94" i="9"/>
  <c r="BD94" i="9" s="1"/>
  <c r="BE94" i="9" s="1"/>
  <c r="BC94" i="9"/>
  <c r="BC103" i="9"/>
  <c r="BB103" i="9"/>
  <c r="BD103" i="9" s="1"/>
  <c r="BE103" i="9" s="1"/>
  <c r="BC81" i="9"/>
  <c r="BB81" i="9"/>
  <c r="BD81" i="9" s="1"/>
  <c r="BE81" i="9" s="1"/>
  <c r="BC53" i="9"/>
  <c r="BB53" i="9"/>
  <c r="BD53" i="9" s="1"/>
  <c r="BE53" i="9" s="1"/>
  <c r="BB52" i="9"/>
  <c r="BD52" i="9" s="1"/>
  <c r="BE52" i="9" s="1"/>
  <c r="BC52" i="9"/>
  <c r="BC26" i="9"/>
  <c r="BB26" i="9"/>
  <c r="BD26" i="9" s="1"/>
  <c r="BE26" i="9" s="1"/>
  <c r="BC106" i="9"/>
  <c r="BB106" i="9"/>
  <c r="BD106" i="9" s="1"/>
  <c r="BE106" i="9" s="1"/>
  <c r="BC72" i="9"/>
  <c r="BB72" i="9"/>
  <c r="BD72" i="9" s="1"/>
  <c r="BE72" i="9" s="1"/>
  <c r="BC41" i="9"/>
  <c r="BB41" i="9"/>
  <c r="BD41" i="9" s="1"/>
  <c r="BE41" i="9" s="1"/>
  <c r="BC87" i="9"/>
  <c r="BB87" i="9"/>
  <c r="BD87" i="9" s="1"/>
  <c r="BE87" i="9" s="1"/>
  <c r="BC15" i="9"/>
  <c r="BB15" i="9"/>
  <c r="BD15" i="9" s="1"/>
  <c r="BE15" i="9" s="1"/>
  <c r="BB73" i="9"/>
  <c r="BD73" i="9" s="1"/>
  <c r="BE73" i="9" s="1"/>
  <c r="BC73" i="9"/>
  <c r="BB27" i="9"/>
  <c r="BD27" i="9" s="1"/>
  <c r="BE27" i="9" s="1"/>
  <c r="BC27" i="9"/>
  <c r="BB86" i="9"/>
  <c r="BD86" i="9" s="1"/>
  <c r="BE86" i="9" s="1"/>
  <c r="BC86" i="9"/>
  <c r="BB84" i="9"/>
  <c r="BD84" i="9" s="1"/>
  <c r="BE84" i="9" s="1"/>
  <c r="BC84" i="9"/>
  <c r="BB36" i="9"/>
  <c r="BD36" i="9" s="1"/>
  <c r="BE36" i="9" s="1"/>
  <c r="BC36" i="9"/>
  <c r="BB92" i="9"/>
  <c r="BD92" i="9" s="1"/>
  <c r="BE92" i="9" s="1"/>
  <c r="BC92" i="9"/>
  <c r="BB44" i="9"/>
  <c r="BD44" i="9" s="1"/>
  <c r="BE44" i="9" s="1"/>
  <c r="BC44" i="9"/>
  <c r="BC23" i="9"/>
  <c r="BB23" i="9"/>
  <c r="BD23" i="9" s="1"/>
  <c r="BE23" i="9" s="1"/>
  <c r="C24" i="4"/>
  <c r="B24" i="4"/>
  <c r="C53" i="5"/>
  <c r="C52" i="5"/>
  <c r="C44" i="5"/>
  <c r="C31" i="5"/>
  <c r="B31" i="5"/>
  <c r="C21" i="5"/>
  <c r="B21" i="5"/>
  <c r="BE7" i="9" l="1"/>
  <c r="L26" i="5"/>
  <c r="L21" i="4"/>
  <c r="D26" i="7" l="1"/>
  <c r="E26" i="7" s="1"/>
  <c r="H9" i="7" l="1"/>
  <c r="L19" i="5" l="1"/>
  <c r="D13" i="5"/>
  <c r="L18" i="5"/>
  <c r="L20" i="5"/>
  <c r="L12" i="4"/>
  <c r="L11" i="4"/>
  <c r="L21" i="5" l="1"/>
  <c r="L22" i="5" s="1"/>
  <c r="L23" i="5" s="1"/>
  <c r="E28" i="5" s="1"/>
  <c r="L15" i="4"/>
  <c r="L16" i="4" s="1"/>
  <c r="L17" i="4" s="1"/>
  <c r="E21" i="4" s="1"/>
  <c r="D29" i="5" l="1"/>
  <c r="D22" i="4"/>
  <c r="L14" i="4" s="1"/>
  <c r="D13" i="4"/>
  <c r="H10" i="7" l="1"/>
  <c r="J68" i="7"/>
  <c r="J67" i="7"/>
  <c r="J66" i="7"/>
  <c r="J65" i="7"/>
  <c r="J64" i="7"/>
  <c r="J63" i="7"/>
  <c r="J62" i="7"/>
  <c r="J61" i="7"/>
  <c r="J60" i="7"/>
  <c r="J59" i="7"/>
  <c r="J54" i="7"/>
  <c r="J53" i="7"/>
  <c r="J52" i="7"/>
  <c r="J51" i="7"/>
  <c r="J50" i="7"/>
  <c r="J49" i="7"/>
  <c r="J48" i="7"/>
  <c r="J47" i="7"/>
  <c r="J46" i="7"/>
  <c r="J45" i="7"/>
  <c r="D27" i="7"/>
  <c r="D28" i="7"/>
  <c r="D29" i="7"/>
  <c r="D30" i="7"/>
  <c r="C40" i="7"/>
  <c r="D21" i="7" s="1"/>
  <c r="D81" i="7" l="1"/>
  <c r="D77" i="7"/>
  <c r="D73" i="7"/>
  <c r="D76" i="7"/>
  <c r="D72" i="7"/>
  <c r="D79" i="7"/>
  <c r="D78" i="7"/>
  <c r="D74" i="7"/>
  <c r="D80" i="7"/>
  <c r="D75" i="7"/>
  <c r="E28" i="7"/>
  <c r="E27" i="7" l="1"/>
  <c r="E29" i="7"/>
  <c r="E30" i="7"/>
  <c r="C50" i="5" l="1"/>
  <c r="C49" i="5"/>
  <c r="C48" i="5"/>
  <c r="C47" i="5"/>
  <c r="C44" i="4"/>
  <c r="C43" i="4"/>
  <c r="C42" i="4"/>
  <c r="C41" i="4"/>
  <c r="C40" i="4"/>
  <c r="D136" i="5" l="1"/>
  <c r="E31" i="7" l="1"/>
  <c r="D20" i="7" l="1"/>
  <c r="D23" i="7" s="1"/>
  <c r="D143" i="5"/>
  <c r="V144" i="5"/>
  <c r="V143" i="5"/>
  <c r="V142" i="5"/>
  <c r="V141" i="5"/>
  <c r="V130" i="4"/>
  <c r="E41" i="5"/>
  <c r="E37" i="5"/>
  <c r="E36" i="5"/>
  <c r="D135" i="5"/>
  <c r="H131" i="5"/>
  <c r="G131" i="5"/>
  <c r="H130" i="5"/>
  <c r="G130" i="5"/>
  <c r="H129" i="5"/>
  <c r="G129" i="5"/>
  <c r="H128" i="5"/>
  <c r="G128" i="5"/>
  <c r="H127" i="5"/>
  <c r="G127" i="5"/>
  <c r="H126" i="5"/>
  <c r="G126" i="5"/>
  <c r="H125" i="5"/>
  <c r="G125" i="5"/>
  <c r="H124" i="5"/>
  <c r="G124" i="5"/>
  <c r="H123" i="5"/>
  <c r="G123" i="5"/>
  <c r="H122" i="5"/>
  <c r="G122" i="5"/>
  <c r="H121" i="5"/>
  <c r="G121" i="5"/>
  <c r="H120" i="5"/>
  <c r="G120" i="5"/>
  <c r="I124" i="5" l="1"/>
  <c r="I126" i="5"/>
  <c r="I128" i="5"/>
  <c r="I130" i="5"/>
  <c r="I127" i="5"/>
  <c r="I131" i="5"/>
  <c r="D137" i="5"/>
  <c r="D139" i="5" s="1"/>
  <c r="I121" i="5"/>
  <c r="I123" i="5"/>
  <c r="I125" i="5"/>
  <c r="I120" i="5"/>
  <c r="I122" i="5"/>
  <c r="I129" i="5"/>
  <c r="D144" i="5" l="1"/>
  <c r="S142" i="5"/>
  <c r="Q142" i="5" s="1"/>
  <c r="S145" i="5"/>
  <c r="Q145" i="5" s="1"/>
  <c r="S141" i="5"/>
  <c r="Q141" i="5" s="1"/>
  <c r="S144" i="5"/>
  <c r="Q144" i="5" s="1"/>
  <c r="S140" i="5"/>
  <c r="Q140" i="5" s="1"/>
  <c r="S143" i="5"/>
  <c r="Q143" i="5" s="1"/>
  <c r="I132" i="5"/>
  <c r="D138" i="5" s="1"/>
  <c r="D132" i="4"/>
  <c r="D140" i="5" l="1"/>
  <c r="E140" i="5" s="1"/>
  <c r="D141" i="5"/>
  <c r="D145" i="5" s="1"/>
  <c r="G139" i="5"/>
  <c r="E139" i="5"/>
  <c r="V133" i="4"/>
  <c r="V132" i="4"/>
  <c r="V131" i="4"/>
  <c r="D146" i="5" l="1"/>
  <c r="D142" i="5"/>
  <c r="D124" i="4"/>
  <c r="D125" i="4"/>
  <c r="E34" i="4"/>
  <c r="E33" i="4"/>
  <c r="E32" i="4"/>
  <c r="H109" i="4"/>
  <c r="H110" i="4"/>
  <c r="H111" i="4"/>
  <c r="H112" i="4"/>
  <c r="H113" i="4"/>
  <c r="H114" i="4"/>
  <c r="H115" i="4"/>
  <c r="H116" i="4"/>
  <c r="H117" i="4"/>
  <c r="H118" i="4"/>
  <c r="H119" i="4"/>
  <c r="H108" i="4"/>
  <c r="D126" i="4" l="1"/>
  <c r="D128" i="4" s="1"/>
  <c r="D133" i="4" l="1"/>
  <c r="S132" i="4" l="1"/>
  <c r="S134" i="4"/>
  <c r="S130" i="4"/>
  <c r="S131" i="4"/>
  <c r="S133" i="4"/>
  <c r="S129" i="4"/>
  <c r="G119" i="4"/>
  <c r="I119" i="4" s="1"/>
  <c r="G118" i="4"/>
  <c r="I118" i="4" s="1"/>
  <c r="G117" i="4"/>
  <c r="I117" i="4" s="1"/>
  <c r="G116" i="4"/>
  <c r="I116" i="4" s="1"/>
  <c r="G115" i="4"/>
  <c r="I115" i="4" s="1"/>
  <c r="G114" i="4"/>
  <c r="I114" i="4" s="1"/>
  <c r="G113" i="4"/>
  <c r="I113" i="4" s="1"/>
  <c r="G112" i="4"/>
  <c r="I112" i="4" s="1"/>
  <c r="G111" i="4"/>
  <c r="I111" i="4" s="1"/>
  <c r="G110" i="4"/>
  <c r="I110" i="4" s="1"/>
  <c r="G109" i="4"/>
  <c r="I109" i="4" s="1"/>
  <c r="G108" i="4"/>
  <c r="I108" i="4" s="1"/>
  <c r="I120" i="4" l="1"/>
  <c r="D127" i="4" s="1"/>
  <c r="Q133" i="4"/>
  <c r="Q130" i="4"/>
  <c r="Q134" i="4"/>
  <c r="Q131" i="4"/>
  <c r="Q132" i="4"/>
  <c r="Q129" i="4"/>
  <c r="D130" i="4" l="1"/>
  <c r="D134" i="4" s="1"/>
  <c r="D129" i="4"/>
  <c r="E129" i="4" s="1"/>
  <c r="G128" i="4"/>
  <c r="E128" i="4"/>
  <c r="D135" i="4" l="1"/>
  <c r="D131" i="4"/>
  <c r="E45" i="6"/>
  <c r="F61" i="6"/>
  <c r="F77" i="6"/>
  <c r="H77" i="6" s="1"/>
  <c r="E92" i="6"/>
  <c r="E107" i="6"/>
  <c r="B50" i="5" l="1"/>
  <c r="B49" i="5"/>
  <c r="B48" i="5"/>
  <c r="B47" i="5"/>
  <c r="D52" i="5"/>
  <c r="B44" i="4"/>
  <c r="B43" i="4"/>
  <c r="B42" i="4"/>
  <c r="B41" i="4"/>
  <c r="B40" i="4"/>
  <c r="D100" i="5"/>
  <c r="B98" i="5"/>
  <c r="B91" i="5"/>
  <c r="B84" i="5"/>
  <c r="B77" i="5"/>
  <c r="B70" i="5"/>
  <c r="D89" i="4"/>
  <c r="B87" i="4"/>
  <c r="B80" i="4"/>
  <c r="B73" i="4"/>
  <c r="B66" i="4"/>
  <c r="B59" i="4"/>
  <c r="D57" i="5"/>
  <c r="L27" i="5" s="1"/>
  <c r="L28" i="5" s="1"/>
  <c r="E58" i="5" s="1"/>
  <c r="D46" i="4"/>
  <c r="L22" i="4" s="1"/>
  <c r="L23" i="4" s="1"/>
  <c r="E47" i="4" s="1"/>
  <c r="E37" i="6"/>
  <c r="F13" i="8"/>
  <c r="C106" i="6"/>
  <c r="E106" i="6" s="1"/>
  <c r="C105" i="6"/>
  <c r="E105" i="6" s="1"/>
  <c r="C104" i="6"/>
  <c r="E104" i="6" s="1"/>
  <c r="C103" i="6"/>
  <c r="E103" i="6" s="1"/>
  <c r="C102" i="6"/>
  <c r="E102" i="6" s="1"/>
  <c r="C101" i="6"/>
  <c r="E101" i="6" s="1"/>
  <c r="C100" i="6"/>
  <c r="E100" i="6" s="1"/>
  <c r="C99" i="6"/>
  <c r="E99" i="6" s="1"/>
  <c r="E25" i="6"/>
  <c r="C91" i="6"/>
  <c r="E91" i="6" s="1"/>
  <c r="C90" i="6"/>
  <c r="E90" i="6" s="1"/>
  <c r="C89" i="6"/>
  <c r="E89" i="6" s="1"/>
  <c r="C88" i="6"/>
  <c r="E88" i="6" s="1"/>
  <c r="C87" i="6"/>
  <c r="E87" i="6" s="1"/>
  <c r="C86" i="6"/>
  <c r="E86" i="6" s="1"/>
  <c r="C85" i="6"/>
  <c r="E85" i="6" s="1"/>
  <c r="C84" i="6"/>
  <c r="E84" i="6" s="1"/>
  <c r="E27" i="6"/>
  <c r="E29" i="6"/>
  <c r="F76" i="6"/>
  <c r="H76" i="6" s="1"/>
  <c r="F75" i="6"/>
  <c r="H75" i="6" s="1"/>
  <c r="F74" i="6"/>
  <c r="H74" i="6" s="1"/>
  <c r="F73" i="6"/>
  <c r="H73" i="6" s="1"/>
  <c r="F72" i="6"/>
  <c r="H72" i="6" s="1"/>
  <c r="F71" i="6"/>
  <c r="H71" i="6" s="1"/>
  <c r="F70" i="6"/>
  <c r="H70" i="6" s="1"/>
  <c r="F69" i="6"/>
  <c r="H69" i="6" s="1"/>
  <c r="E44" i="6"/>
  <c r="E43" i="6"/>
  <c r="E42" i="6"/>
  <c r="E41" i="6"/>
  <c r="E40" i="6"/>
  <c r="E39" i="6"/>
  <c r="E38" i="6"/>
  <c r="F60" i="6"/>
  <c r="F59" i="6"/>
  <c r="F58" i="6"/>
  <c r="F57" i="6"/>
  <c r="F56" i="6"/>
  <c r="F55" i="6"/>
  <c r="F54" i="6"/>
  <c r="F53" i="6"/>
  <c r="D101" i="5" l="1"/>
  <c r="D103" i="5" s="1"/>
  <c r="D90" i="4"/>
  <c r="D92" i="4" s="1"/>
  <c r="D95" i="4" s="1"/>
  <c r="D54" i="5"/>
  <c r="D58" i="5" s="1"/>
  <c r="D10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Deejan Ferrao</author>
  </authors>
  <commentList>
    <comment ref="L23" authorId="0" shapeId="0" xr:uid="{00000000-0006-0000-0300-000001000000}">
      <text>
        <r>
          <rPr>
            <b/>
            <sz val="9"/>
            <color indexed="81"/>
            <rFont val="Tahoma"/>
            <family val="2"/>
          </rPr>
          <t>Deejan Ferrao:</t>
        </r>
        <r>
          <rPr>
            <sz val="9"/>
            <color indexed="81"/>
            <rFont val="Tahoma"/>
            <family val="2"/>
          </rPr>
          <t xml:space="preserve">
Works only when CR is not met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Deejan Ferrao</author>
    <author>Jim Ng</author>
  </authors>
  <commentList>
    <comment ref="B22" authorId="0" shapeId="0" xr:uid="{7C04B915-4CD5-40A8-B5E0-DC521306BC1D}">
      <text>
        <r>
          <rPr>
            <sz val="9"/>
            <color indexed="81"/>
            <rFont val="Tahoma"/>
            <family val="2"/>
          </rPr>
          <t xml:space="preserve">NABERS Reverse Calculator reports on Scope 1,2 and 3 emissions
</t>
        </r>
      </text>
    </comment>
    <comment ref="L28" authorId="0" shapeId="0" xr:uid="{00000000-0006-0000-0400-000001000000}">
      <text>
        <r>
          <rPr>
            <b/>
            <sz val="9"/>
            <color indexed="81"/>
            <rFont val="Tahoma"/>
            <family val="2"/>
          </rPr>
          <t>Deejan :
works only when CR is not met</t>
        </r>
      </text>
    </comment>
    <comment ref="E47" authorId="1" shapeId="0" xr:uid="{0C6A3EB7-81D0-484E-B8FA-4B23DDCAA3B2}">
      <text>
        <r>
          <rPr>
            <sz val="9"/>
            <color indexed="81"/>
            <rFont val="Tahoma"/>
            <family val="2"/>
          </rPr>
          <t>Projects without voluntary renewables must input the location-based (if you didn't have renewable electricity) figures from the NABERS Report.
Projects with voluntary renewables procured beyond the RET may elect to input either the location-based figure OR the market-based (with renewable electricity) figure.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Jim Ng</author>
  </authors>
  <commentList>
    <comment ref="AB9" authorId="0" shapeId="0" xr:uid="{FE2E7FEE-91A8-49E5-95DD-A26A21C2C336}">
      <text>
        <r>
          <rPr>
            <b/>
            <sz val="9"/>
            <color indexed="81"/>
            <rFont val="Tahoma"/>
            <family val="2"/>
          </rPr>
          <t>See Section 15.0.5 in the Submission Guidelines</t>
        </r>
      </text>
    </comment>
    <comment ref="AD9" authorId="0" shapeId="0" xr:uid="{6F5B85B9-0593-4692-B7E7-91E2F733E8B9}">
      <text>
        <r>
          <rPr>
            <b/>
            <sz val="9"/>
            <color indexed="81"/>
            <rFont val="Tahoma"/>
            <family val="2"/>
          </rPr>
          <t>See Table 15.03 in the Points Table sheet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Jack Manning</author>
  </authors>
  <commentList>
    <comment ref="I13" authorId="0" shapeId="0" xr:uid="{00000000-0006-0000-0700-000001000000}">
      <text>
        <r>
          <rPr>
            <sz val="8"/>
            <color indexed="81"/>
            <rFont val="Tahoma"/>
            <family val="2"/>
          </rPr>
          <t>Minimum Performer is defined as being 30% more carbon intensive than the average performer.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<sst xmlns="http://schemas.openxmlformats.org/spreadsheetml/2006/main" count="4727" uniqueCount="1193">
  <si>
    <t>DISCLAIMER, AUTHORISATION AND ACKNOWLEDGEMENT</t>
  </si>
  <si>
    <t xml:space="preserve">Please ensure that you use the most up-to-date version of Green Star calculators They are routinely updated, and using the most current version will make filling in your calculator easier, clearer and more accurate.
This calculator provides an indication of the number of points available in the rating tool. It is not final, and it is only intended for feedback purposes. </t>
  </si>
  <si>
    <t>Change Log</t>
  </si>
  <si>
    <t>Calculator Release</t>
  </si>
  <si>
    <t>Summary of Changes</t>
  </si>
  <si>
    <t>Green Star - Performance Submission Guidelines Version 1.2</t>
  </si>
  <si>
    <t>Release 9 - 19/06/24</t>
  </si>
  <si>
    <t>- Portfolio Calculator tab added to allow Green Star Performance portfolio's to target the Greenhouse Gas Emissions credit using a single spreadsheet</t>
  </si>
  <si>
    <t>Release 8 - 12/03/2024</t>
  </si>
  <si>
    <t>- Updated calculator to align with NABERS reports and NABERS reverse calculators. For the purposes of the NABERS Energy Detailed Pathway, the calculator now compares scope 1,2,3 of the rated building with benchmarking emissions (Scope 1,2,3) as reported by the NABERS Reverse Calculator</t>
  </si>
  <si>
    <t>Release 7 - 25/02/2021</t>
  </si>
  <si>
    <t xml:space="preserve">- Updated calculations for the tenant engagement section. </t>
  </si>
  <si>
    <t>Release 6 - 27/10/2020</t>
  </si>
  <si>
    <t>- Added NABERS Hotels to list of applicable types
- Minor updates to units throughout</t>
  </si>
  <si>
    <t>Release 5 - 17/06/2020</t>
  </si>
  <si>
    <t xml:space="preserve">- Added section for project teams to select targeted Green Star rating for the project.
- Added prompt to notify project teams, when the Conditional Requirement for the 'Best Practice' or higher rating is not met. </t>
  </si>
  <si>
    <t>Release 4 - 11/03/2020</t>
  </si>
  <si>
    <t>Minor edits</t>
  </si>
  <si>
    <t>Release 3 - 08/10/2019</t>
  </si>
  <si>
    <t>- Added section to capture NABERS reference number. 
-  Added section to capture NABERS rated period. 
- Updated NGERS Emission Factors in line with the National Greenhouse Gas Account Factors - 2019.
- Minor formating throughout.</t>
  </si>
  <si>
    <t>Release 2 - 24/08/2018</t>
  </si>
  <si>
    <t>- Inclusion of the 'Carbon Neutral Summary' tab for projects targetting carbon neutral certification through the National Carbon Offset Standard for Buildings
- Updated NGER Emission Factors
- Addition of Renewable Energy inputs in the Building Details tab</t>
  </si>
  <si>
    <t>Release 1 - 29/11/2017</t>
  </si>
  <si>
    <t>Released for Green Star - Performance v1.2, 
 - Calculator applicable for New Zealand projects;
 - Minor formatting throughout.</t>
  </si>
  <si>
    <t>Green Star - Performance Submission Guidelines Version 1.1</t>
  </si>
  <si>
    <t>Release 2 - 22/04/2016</t>
  </si>
  <si>
    <t>Amended the references for the calculation of points in the Tenant Engagement section of '15A NABERS Energy Detailed' Tab;</t>
  </si>
  <si>
    <t>Release 1 - 08/04/2016</t>
  </si>
  <si>
    <t>Relased for Green Star - Performance v1.1,
- Amended to include NABERS Energy Inputs for Shopping Centres and Hotels
- Amended functionality of Tenant Engagement Section</t>
  </si>
  <si>
    <t>Green Star - Performance Submission Guidelines Version 1.0</t>
  </si>
  <si>
    <t>Release 2 - 13/04/2015</t>
  </si>
  <si>
    <t xml:space="preserve">- Amended to also include approach whereby GHG emissions benchmark is set using the NABERS Energy; and
- Reverse calculator in accordance with 15A.3.2. Originally only 15A.3.1 was included in this calculator. </t>
  </si>
  <si>
    <t>Release 1 - 2/04/2015</t>
  </si>
  <si>
    <t>Initial release.</t>
  </si>
  <si>
    <t>x</t>
  </si>
  <si>
    <t xml:space="preserve">Summary of Changes - Internal Use only </t>
  </si>
  <si>
    <t>Release Number</t>
  </si>
  <si>
    <t>Date</t>
  </si>
  <si>
    <t>Author</t>
  </si>
  <si>
    <t>Reviewer</t>
  </si>
  <si>
    <t>Approver</t>
  </si>
  <si>
    <t>Sheet</t>
  </si>
  <si>
    <t>Range</t>
  </si>
  <si>
    <t>New Value</t>
  </si>
  <si>
    <t>Old Value</t>
  </si>
  <si>
    <t>Comments</t>
  </si>
  <si>
    <t>Version v1.2, Release 1</t>
  </si>
  <si>
    <t>SN</t>
  </si>
  <si>
    <t>DF</t>
  </si>
  <si>
    <t>15A NABERS Energy Detailed</t>
  </si>
  <si>
    <t>E19</t>
  </si>
  <si>
    <t>"For Retail and Hotel ratings, additional conversion of units is required"</t>
  </si>
  <si>
    <t>Guidance for Retail and Hotels provided. Project teams are required to convert the GHG output by the Reverse calculator</t>
  </si>
  <si>
    <t>NGER Emission Factors</t>
  </si>
  <si>
    <t>Whole Sheet</t>
  </si>
  <si>
    <t>Deleted whole sheet as it did not link to any values.</t>
  </si>
  <si>
    <t>BM/SA (NZGBC)</t>
  </si>
  <si>
    <t>AGO Emission Factors</t>
  </si>
  <si>
    <t>B45:E45</t>
  </si>
  <si>
    <t>Various</t>
  </si>
  <si>
    <r>
      <t xml:space="preserve">Added GHG Emissions factors for NZ projects. </t>
    </r>
    <r>
      <rPr>
        <i/>
        <sz val="10"/>
        <rFont val="Arial"/>
        <family val="2"/>
        <scheme val="minor"/>
      </rPr>
      <t>Note: These tabs do not link to inputs</t>
    </r>
  </si>
  <si>
    <t>B61:H61</t>
  </si>
  <si>
    <t>B77:H77</t>
  </si>
  <si>
    <t>B92:E92</t>
  </si>
  <si>
    <t>B107:E107</t>
  </si>
  <si>
    <t>Version v1.2, Release 2</t>
  </si>
  <si>
    <t>15A NABERS Energy Simple</t>
  </si>
  <si>
    <t>B12</t>
  </si>
  <si>
    <t>Please enter the project's Performance Period - end date</t>
  </si>
  <si>
    <t>&lt;blank&gt;</t>
  </si>
  <si>
    <t>Included inputs for onsite renewable energy</t>
  </si>
  <si>
    <t>UD</t>
  </si>
  <si>
    <t>B11</t>
  </si>
  <si>
    <t>Please enter the project's Performance Period - Start date</t>
  </si>
  <si>
    <t>Please enter the project's Performance Period.
(Start date to end date)</t>
  </si>
  <si>
    <t>B92:I123</t>
  </si>
  <si>
    <t>B115: W127</t>
  </si>
  <si>
    <t>Calculation for Innovation Challenge</t>
  </si>
  <si>
    <t>Please enter the project's Performance Period end date</t>
  </si>
  <si>
    <t>Amended Performance Period inputs</t>
  </si>
  <si>
    <t>Please enter the project's Performance Period - start date</t>
  </si>
  <si>
    <t>B105:I122</t>
  </si>
  <si>
    <t>B126:D130</t>
  </si>
  <si>
    <t>Summary for Innovation Challenge</t>
  </si>
  <si>
    <t>B132:W142</t>
  </si>
  <si>
    <t>Carbon Neutral Summary</t>
  </si>
  <si>
    <t>Whole sheet</t>
  </si>
  <si>
    <t>Included for projects targetting an NCOS ratings</t>
  </si>
  <si>
    <t>E25</t>
  </si>
  <si>
    <t>'=D25/1000</t>
  </si>
  <si>
    <t>'=D25/0.001</t>
  </si>
  <si>
    <t>Fixed conversion of fossil fuel use</t>
  </si>
  <si>
    <t>E26</t>
  </si>
  <si>
    <t>'=(D26/1000)*38.6</t>
  </si>
  <si>
    <t>'=(D26/1000)/38.6</t>
  </si>
  <si>
    <t>E27</t>
  </si>
  <si>
    <t>'=(D27/1000)*27</t>
  </si>
  <si>
    <t>'=(D27/1000)/27</t>
  </si>
  <si>
    <t>B40</t>
  </si>
  <si>
    <t>Purchased electricity</t>
  </si>
  <si>
    <t>B41</t>
  </si>
  <si>
    <t>Fuel Type</t>
  </si>
  <si>
    <t>D41</t>
  </si>
  <si>
    <t>NGER Item Number</t>
  </si>
  <si>
    <t>E41</t>
  </si>
  <si>
    <t>End Use</t>
  </si>
  <si>
    <t>F41</t>
  </si>
  <si>
    <t>Unit</t>
  </si>
  <si>
    <t>G41</t>
  </si>
  <si>
    <t>Emission Factors (kg CO2e/unit)</t>
  </si>
  <si>
    <t>J41</t>
  </si>
  <si>
    <t>Combined Emission Factor (kg CO2e/unit)</t>
  </si>
  <si>
    <t>L52</t>
  </si>
  <si>
    <t>Source</t>
  </si>
  <si>
    <t>G42</t>
  </si>
  <si>
    <t>CO2</t>
  </si>
  <si>
    <t>H42</t>
  </si>
  <si>
    <t>CH4</t>
  </si>
  <si>
    <t>I42</t>
  </si>
  <si>
    <t>N20</t>
  </si>
  <si>
    <t>L54</t>
  </si>
  <si>
    <t>NGER Determination 2017; Part 6.2</t>
  </si>
  <si>
    <t>B43</t>
  </si>
  <si>
    <t>NSW</t>
  </si>
  <si>
    <t>C43</t>
  </si>
  <si>
    <t>Scope 2</t>
  </si>
  <si>
    <t>D43</t>
  </si>
  <si>
    <t>E43</t>
  </si>
  <si>
    <t>Purchased electricity from NSW</t>
  </si>
  <si>
    <t>F43</t>
  </si>
  <si>
    <t>kWh</t>
  </si>
  <si>
    <t>G43</t>
  </si>
  <si>
    <t>H43</t>
  </si>
  <si>
    <t>I43</t>
  </si>
  <si>
    <t>J43</t>
  </si>
  <si>
    <t>'=SUM(G43:I43)</t>
  </si>
  <si>
    <t>L55</t>
  </si>
  <si>
    <t>NGER Determination 2017; Schedule 1 - Part 6</t>
  </si>
  <si>
    <t>B44</t>
  </si>
  <si>
    <t>ACT</t>
  </si>
  <si>
    <t>C44</t>
  </si>
  <si>
    <t>D44</t>
  </si>
  <si>
    <t>E44</t>
  </si>
  <si>
    <t>Purchased electricity from ACT</t>
  </si>
  <si>
    <t>F44</t>
  </si>
  <si>
    <t>G44</t>
  </si>
  <si>
    <t>H44</t>
  </si>
  <si>
    <t>I44</t>
  </si>
  <si>
    <t>J44</t>
  </si>
  <si>
    <t>'=SUM(G44:I44)</t>
  </si>
  <si>
    <t>L56</t>
  </si>
  <si>
    <t>B45</t>
  </si>
  <si>
    <t>VIC</t>
  </si>
  <si>
    <t>C45</t>
  </si>
  <si>
    <t>D45</t>
  </si>
  <si>
    <t>E45</t>
  </si>
  <si>
    <t>Purchased electricity from VIC</t>
  </si>
  <si>
    <t>F45</t>
  </si>
  <si>
    <t>G45</t>
  </si>
  <si>
    <t>H45</t>
  </si>
  <si>
    <t>I45</t>
  </si>
  <si>
    <t>J45</t>
  </si>
  <si>
    <t>'=SUM(G45:I45)</t>
  </si>
  <si>
    <t>L57</t>
  </si>
  <si>
    <t>B46</t>
  </si>
  <si>
    <t>QLD</t>
  </si>
  <si>
    <t>C46</t>
  </si>
  <si>
    <t>D46</t>
  </si>
  <si>
    <t>E46</t>
  </si>
  <si>
    <t>Purchased electricity from QLD</t>
  </si>
  <si>
    <t>F46</t>
  </si>
  <si>
    <t>G46</t>
  </si>
  <si>
    <t>H46</t>
  </si>
  <si>
    <t>I46</t>
  </si>
  <si>
    <t>J46</t>
  </si>
  <si>
    <t>'=SUM(G46:I46)</t>
  </si>
  <si>
    <t>L58</t>
  </si>
  <si>
    <t>B47</t>
  </si>
  <si>
    <t>SA</t>
  </si>
  <si>
    <t>C47</t>
  </si>
  <si>
    <t>D47</t>
  </si>
  <si>
    <t>E47</t>
  </si>
  <si>
    <t>Purchased electricity from SA</t>
  </si>
  <si>
    <t>F47</t>
  </si>
  <si>
    <t>G47</t>
  </si>
  <si>
    <t>H47</t>
  </si>
  <si>
    <t>I47</t>
  </si>
  <si>
    <t>J47</t>
  </si>
  <si>
    <t>'=SUM(G47:I47)</t>
  </si>
  <si>
    <t>L59</t>
  </si>
  <si>
    <t>B48</t>
  </si>
  <si>
    <t>WA</t>
  </si>
  <si>
    <t>C48</t>
  </si>
  <si>
    <t>D48</t>
  </si>
  <si>
    <t>E48</t>
  </si>
  <si>
    <t>South West Interconnected System (SWIS) in WA</t>
  </si>
  <si>
    <t>F48</t>
  </si>
  <si>
    <t>G48</t>
  </si>
  <si>
    <t>H48</t>
  </si>
  <si>
    <t>I48</t>
  </si>
  <si>
    <t>J48</t>
  </si>
  <si>
    <t>'=SUM(G48:I48)</t>
  </si>
  <si>
    <t>L60</t>
  </si>
  <si>
    <t>B49</t>
  </si>
  <si>
    <t>NT</t>
  </si>
  <si>
    <t>C49</t>
  </si>
  <si>
    <t>D49</t>
  </si>
  <si>
    <t>E49</t>
  </si>
  <si>
    <t>Purchased electricity from NT</t>
  </si>
  <si>
    <t>F49</t>
  </si>
  <si>
    <t>G49</t>
  </si>
  <si>
    <t>H49</t>
  </si>
  <si>
    <t>I49</t>
  </si>
  <si>
    <t>J49</t>
  </si>
  <si>
    <t>'=SUM(G49:I49)</t>
  </si>
  <si>
    <t>L61</t>
  </si>
  <si>
    <t>B50</t>
  </si>
  <si>
    <t>TAS</t>
  </si>
  <si>
    <t>C50</t>
  </si>
  <si>
    <t>D50</t>
  </si>
  <si>
    <t>E50</t>
  </si>
  <si>
    <t>Purchased electricity from TAS</t>
  </si>
  <si>
    <t>F50</t>
  </si>
  <si>
    <t>G50</t>
  </si>
  <si>
    <t>H50</t>
  </si>
  <si>
    <t>I50</t>
  </si>
  <si>
    <t>J50</t>
  </si>
  <si>
    <t>'=SUM(G50:I50)</t>
  </si>
  <si>
    <t>L62</t>
  </si>
  <si>
    <t>B23</t>
  </si>
  <si>
    <t>Are Large-scale Generation Certificates (LGC's) created on site?</t>
  </si>
  <si>
    <t>B24</t>
  </si>
  <si>
    <t>Are the Large-scale Generation Certificates (LGC's) retired?</t>
  </si>
  <si>
    <t>B25</t>
  </si>
  <si>
    <t>Are Large-scale Generation Certificates (LGC's) purchased and retired by the responsible entity ?</t>
  </si>
  <si>
    <t>B27</t>
  </si>
  <si>
    <t>Total Greenhouse Gas Emissions (t CO2-e) associated with energy consumption</t>
  </si>
  <si>
    <t>D27</t>
  </si>
  <si>
    <t>'=D18+D21</t>
  </si>
  <si>
    <t>C21</t>
  </si>
  <si>
    <t>=IF(AND(D23="yes",D24="no"),VLOOKUP(C12,B42:J49,9), 0)</t>
  </si>
  <si>
    <t>K43</t>
  </si>
  <si>
    <t>K44</t>
  </si>
  <si>
    <t>K45</t>
  </si>
  <si>
    <t>K46</t>
  </si>
  <si>
    <t>K47</t>
  </si>
  <si>
    <t>K48</t>
  </si>
  <si>
    <t>K49</t>
  </si>
  <si>
    <t>K50</t>
  </si>
  <si>
    <t>K41</t>
  </si>
  <si>
    <t>Francisca Joyce</t>
  </si>
  <si>
    <t>'=VLOOKUP(C12,B75:J82,9)</t>
  </si>
  <si>
    <t>'=IF(AND(D23="yes",D26="no"),VLOOKUP(C12,B75:J82,9), 0)</t>
  </si>
  <si>
    <t>Are Large-scale Generation Certificates (LGC's) generated on site?</t>
  </si>
  <si>
    <t>B26</t>
  </si>
  <si>
    <t>Total Large-scale Generation Certificates (LGC's) generated onsite and retired (t CO2-e)</t>
  </si>
  <si>
    <t>Total Large-scale Generation Certificates (LGC's) generated onsite and NOT retired (t CO2-e)</t>
  </si>
  <si>
    <t>B29</t>
  </si>
  <si>
    <t>Total Offset units retired (t CO2-e)</t>
  </si>
  <si>
    <t>'26:26, 29:29</t>
  </si>
  <si>
    <t>'26:26</t>
  </si>
  <si>
    <t>'28:28, 31:31</t>
  </si>
  <si>
    <t>D31</t>
  </si>
  <si>
    <t>'=D18+D26-D27-D29</t>
  </si>
  <si>
    <t>C33</t>
  </si>
  <si>
    <t xml:space="preserve">t CO2 –e </t>
  </si>
  <si>
    <t>D33</t>
  </si>
  <si>
    <t>Vintage (date of issuance of the offset unit)</t>
  </si>
  <si>
    <t>E33</t>
  </si>
  <si>
    <t>Date of Cancellation</t>
  </si>
  <si>
    <t>F33</t>
  </si>
  <si>
    <t>Serial Numbers</t>
  </si>
  <si>
    <t>G33</t>
  </si>
  <si>
    <t>Supporting Documentation</t>
  </si>
  <si>
    <t>B34</t>
  </si>
  <si>
    <t>Include details of registry and type of offset unit. Provide enough information to allow readers to identify offsets used to maintain carbon neutral status. Include details on scheme and type of project e.g. Gold Standard VERs from XXX wind power project,</t>
  </si>
  <si>
    <t>D34</t>
  </si>
  <si>
    <t>See Appendix A of the standard for a list of eligible offset units. 
Note:  As of 1 November 
2018, all units must have a vintage year later than 2012 (as per Appendix A of the standard).</t>
  </si>
  <si>
    <t>F34</t>
  </si>
  <si>
    <t>Include serial numbers</t>
  </si>
  <si>
    <t>G34</t>
  </si>
  <si>
    <t>Provide link to publicly viewable page of the relevant offsets registry.
Provide enough information to allow readers to identify offsets used to maintain carbon neutral status. You should ensure that the publicly viewable page of the relevant offsets regi</t>
  </si>
  <si>
    <t>B39</t>
  </si>
  <si>
    <t>Total offset units retired</t>
  </si>
  <si>
    <t>C39</t>
  </si>
  <si>
    <t>'=SUM(C34:C38)</t>
  </si>
  <si>
    <t>'24:24</t>
  </si>
  <si>
    <t>Have offset units been purchased?</t>
  </si>
  <si>
    <t>C41</t>
  </si>
  <si>
    <t>F42</t>
  </si>
  <si>
    <t xml:space="preserve">According to the standard, offsets may be cancelled/retired in arrears or upfront/in advance, providing that annual validations and adjustment takes place.
You may include here additional information such as offsets purchased for future years and surplus </t>
  </si>
  <si>
    <t>As above</t>
  </si>
  <si>
    <t>n/a</t>
  </si>
  <si>
    <t>B55</t>
  </si>
  <si>
    <t>Total offset units banked for future years</t>
  </si>
  <si>
    <t>C57</t>
  </si>
  <si>
    <t>D57</t>
  </si>
  <si>
    <t>E57</t>
  </si>
  <si>
    <t>F57</t>
  </si>
  <si>
    <t>G57</t>
  </si>
  <si>
    <t>F58</t>
  </si>
  <si>
    <t>B63</t>
  </si>
  <si>
    <t>Total Emissions retired</t>
  </si>
  <si>
    <t>C63</t>
  </si>
  <si>
    <t>'=SUM(C58:C62)</t>
  </si>
  <si>
    <t>B71</t>
  </si>
  <si>
    <t>Total Emissions not retired</t>
  </si>
  <si>
    <t>C71</t>
  </si>
  <si>
    <t>'=SUM(C66:C70)</t>
  </si>
  <si>
    <t>'72:72</t>
  </si>
  <si>
    <t>E24</t>
  </si>
  <si>
    <t xml:space="preserve">Message to appear: If no to both questions, then do not proceed further. </t>
  </si>
  <si>
    <t>B33</t>
  </si>
  <si>
    <t>Offsets retired</t>
  </si>
  <si>
    <t>Offsets banked for future years</t>
  </si>
  <si>
    <t>B57</t>
  </si>
  <si>
    <t>Large Scale Generation Certificates (LGCs) generated onsite and retired</t>
  </si>
  <si>
    <t>B65</t>
  </si>
  <si>
    <t>LGCs generated onsite and NOT voluntarily retired</t>
  </si>
  <si>
    <t>'=SUM(C42:C46)</t>
  </si>
  <si>
    <t>C55</t>
  </si>
  <si>
    <t>'=SUM(C50:C54)</t>
  </si>
  <si>
    <t>B28</t>
  </si>
  <si>
    <t>Total LGCs generated offsite (from purchased renewable electricity) and retired (t CO2-e)</t>
  </si>
  <si>
    <t>'28:28</t>
  </si>
  <si>
    <t xml:space="preserve">Total LGCs generated offsite (from purchased renewable electricity) and retired (t CO2-e) </t>
  </si>
  <si>
    <t>D42</t>
  </si>
  <si>
    <t>Note: The 16% RET liability charge cannot be claimed as zero emissions, as the LGCs are retired by the retailer to meet their RET obligations. 
Note:  As of 1 November 
2018, all units must have a vintage year later than 2012 (as per Appendix A of the st</t>
  </si>
  <si>
    <t>B42</t>
  </si>
  <si>
    <t xml:space="preserve">Include details on electricity purchased (through a Power Purchasing Agreement or as a 16% RET liability charge applied to large consumers who have electricity contract) and ensure the LGCs associated with that energy have been voluntarily retired either </t>
  </si>
  <si>
    <t xml:space="preserve">Might need to folow up with the retailer. Sophie, please provide further clarification of what we would need to be checking for here. </t>
  </si>
  <si>
    <t>'=D18+D26-SUM(D27:D29)</t>
  </si>
  <si>
    <t>'=D18+D24-D25-D28</t>
  </si>
  <si>
    <t>Are Large-scale Generation Certificates (LGC's) generated offsite?</t>
  </si>
  <si>
    <t>Simon Ng</t>
  </si>
  <si>
    <t>'=IF(AND(D23="No", D25="No"), "The following sections are not required to be completed", "")</t>
  </si>
  <si>
    <t>Total Large-scale Generation Certificates (LGC's) generated onsite and NOT surrendered (t CO2-e)</t>
  </si>
  <si>
    <t>D26</t>
  </si>
  <si>
    <t>'=D18+D23-D24</t>
  </si>
  <si>
    <t>'=D18+D23-SUM(D24:D24)</t>
  </si>
  <si>
    <t>D37</t>
  </si>
  <si>
    <t>E37</t>
  </si>
  <si>
    <t>F37</t>
  </si>
  <si>
    <t>G37</t>
  </si>
  <si>
    <t>D38</t>
  </si>
  <si>
    <t>F38</t>
  </si>
  <si>
    <t>G38</t>
  </si>
  <si>
    <t>'=SUM(C38:C42)</t>
  </si>
  <si>
    <t>Large Scale Generation Certificates (LGCs) generated onsite and NOT surrendered</t>
  </si>
  <si>
    <t>C28</t>
  </si>
  <si>
    <t>Quantity (MWH)
1 LGC = 1MWh</t>
  </si>
  <si>
    <t>D28</t>
  </si>
  <si>
    <t>Quantity (GJ)</t>
  </si>
  <si>
    <t>F28</t>
  </si>
  <si>
    <t>G28</t>
  </si>
  <si>
    <t>F29</t>
  </si>
  <si>
    <t>E34</t>
  </si>
  <si>
    <t>'=SUM(E29:E33)</t>
  </si>
  <si>
    <t>'=SUM(C29:C33)</t>
  </si>
  <si>
    <t>E28</t>
  </si>
  <si>
    <t>t CO2 -e</t>
  </si>
  <si>
    <t>D29</t>
  </si>
  <si>
    <t>'=C29*3.6</t>
  </si>
  <si>
    <t>D30</t>
  </si>
  <si>
    <t>'=C30*3.6</t>
  </si>
  <si>
    <t>'=C31*3.6</t>
  </si>
  <si>
    <t>D32</t>
  </si>
  <si>
    <t>'=C32*3.6</t>
  </si>
  <si>
    <t>'=C33*3.6</t>
  </si>
  <si>
    <t>H10</t>
  </si>
  <si>
    <t>'=YEAR(H9)</t>
  </si>
  <si>
    <t>D75</t>
  </si>
  <si>
    <t>'=IF($H$10=2017, J62, J48)</t>
  </si>
  <si>
    <t>D76</t>
  </si>
  <si>
    <t>'=IF($H$10=2017, J63, J49)</t>
  </si>
  <si>
    <t>D77</t>
  </si>
  <si>
    <t>'=IF($H$10=2017, J64, J50)</t>
  </si>
  <si>
    <t>D78</t>
  </si>
  <si>
    <t>'=IF($H$10=2017, J65, J51)</t>
  </si>
  <si>
    <t>D79</t>
  </si>
  <si>
    <t>'=IF($H$10=2017, J66, J52)</t>
  </si>
  <si>
    <t>D80</t>
  </si>
  <si>
    <t>'=IF($H$10=2017, J67, J53)</t>
  </si>
  <si>
    <t>D81</t>
  </si>
  <si>
    <t>'=IF($H$10=2017, J68, J54)</t>
  </si>
  <si>
    <t>D82</t>
  </si>
  <si>
    <t>'=IF($H$10=2017, J69, J55)</t>
  </si>
  <si>
    <t>D83</t>
  </si>
  <si>
    <t>'=IF($H$10=2017, J70, J56)</t>
  </si>
  <si>
    <t>D84</t>
  </si>
  <si>
    <t>'=IF($H$10=2017, J71, J57)</t>
  </si>
  <si>
    <t>E29</t>
  </si>
  <si>
    <t>'=D29*(((VLOOKUP($C$12, $B$75:$D$84, 3, FALSE))/1000))</t>
  </si>
  <si>
    <t>E30</t>
  </si>
  <si>
    <t>'=D30*(((VLOOKUP($C$12, $B$75:$D$84, 3, FALSE))/1000))</t>
  </si>
  <si>
    <t>E31</t>
  </si>
  <si>
    <t>'=D31*(((VLOOKUP($C$12, $B$75:$D$84, 3, FALSE))/1000))</t>
  </si>
  <si>
    <t>E32</t>
  </si>
  <si>
    <t>'=D32*(((VLOOKUP($C$12, $B$75:$D$84, 3, FALSE))/1000))</t>
  </si>
  <si>
    <t>'=D33*(((VLOOKUP($C$12, $B$75:$D$84, 3, FALSE))/1000))</t>
  </si>
  <si>
    <t>B45:K85</t>
  </si>
  <si>
    <t>Added GHG Emission factors</t>
  </si>
  <si>
    <t>Version v1.2, Release 3</t>
  </si>
  <si>
    <t>G59:K68</t>
  </si>
  <si>
    <t>Replaced 2017 emission factors with 2018</t>
  </si>
  <si>
    <t>2019 Emission Factors</t>
  </si>
  <si>
    <t>2018 Emission Factors</t>
  </si>
  <si>
    <t>Replaced 2018 emission factors with 2019</t>
  </si>
  <si>
    <t>G45:K54</t>
  </si>
  <si>
    <t>D12</t>
  </si>
  <si>
    <t>'=DATE(YEAR(D11)+1,MONTH(D11),DAY(D11)-1)</t>
  </si>
  <si>
    <t>Added formula to automate the End date of Performance period</t>
  </si>
  <si>
    <t>B18</t>
  </si>
  <si>
    <t>Please enter the project NABERS Rating reference number</t>
  </si>
  <si>
    <t>Added section to capture Nabers Rating number for the project</t>
  </si>
  <si>
    <t>'19:19</t>
  </si>
  <si>
    <t>Added section to capture the NABERS Rated period</t>
  </si>
  <si>
    <t>B19</t>
  </si>
  <si>
    <t>What is the projects rated period</t>
  </si>
  <si>
    <t>C19</t>
  </si>
  <si>
    <t>Start Date</t>
  </si>
  <si>
    <t>C20</t>
  </si>
  <si>
    <t>End Date</t>
  </si>
  <si>
    <t>D20</t>
  </si>
  <si>
    <t>'=DATE(YEAR(D19)+1,MONTH(D19),DAY(D19)-1)</t>
  </si>
  <si>
    <t>Added formula to automate the end date of the rated period</t>
  </si>
  <si>
    <t>K11</t>
  </si>
  <si>
    <t>Start date of the performance period.</t>
  </si>
  <si>
    <t>Added back end calculations to calculate overlap between the performance period and the rated period</t>
  </si>
  <si>
    <t>K19, K11</t>
  </si>
  <si>
    <t>L11</t>
  </si>
  <si>
    <t>'=D11</t>
  </si>
  <si>
    <t>L13</t>
  </si>
  <si>
    <t>'=D20</t>
  </si>
  <si>
    <t>K19:L19, K13:L13</t>
  </si>
  <si>
    <t>K12</t>
  </si>
  <si>
    <t>Start date of the rated period</t>
  </si>
  <si>
    <t>K13</t>
  </si>
  <si>
    <t>End date of the Rated period</t>
  </si>
  <si>
    <t>L12</t>
  </si>
  <si>
    <t>'=D19</t>
  </si>
  <si>
    <t>L14</t>
  </si>
  <si>
    <t>'=L11-L12</t>
  </si>
  <si>
    <t>K18:M21, K11:M14</t>
  </si>
  <si>
    <t>K14</t>
  </si>
  <si>
    <t>Difference between Start of perforance period and Start date of rated period</t>
  </si>
  <si>
    <t>K15</t>
  </si>
  <si>
    <t>Overlap of rated period with the performance period(Days)</t>
  </si>
  <si>
    <t>L15</t>
  </si>
  <si>
    <t>'=365-ABS(L14)</t>
  </si>
  <si>
    <t>K16</t>
  </si>
  <si>
    <t>Condition met</t>
  </si>
  <si>
    <t>L16</t>
  </si>
  <si>
    <t>=IF(L15&gt;=90,1,0)</t>
  </si>
  <si>
    <t>=IF(ISBLANK(D19),"",IF(L16=1,"","The rated period must be within 90 days of the Performance period"))</t>
  </si>
  <si>
    <t>Added formula to display message when there is no overlap between the rated period and performance period.</t>
  </si>
  <si>
    <t>C26</t>
  </si>
  <si>
    <t>'=IFERROR(IF(D26-D18&lt;=-335,"The rated period must be within three months of the Performance period",""),"")</t>
  </si>
  <si>
    <t>C27</t>
  </si>
  <si>
    <t>'=DATE(YEAR(D26)+1,MONTH(D26),DAY(D26)-1)</t>
  </si>
  <si>
    <t>K17</t>
  </si>
  <si>
    <t>K18</t>
  </si>
  <si>
    <t>L18</t>
  </si>
  <si>
    <t>'=D25</t>
  </si>
  <si>
    <t>K19</t>
  </si>
  <si>
    <t>L19</t>
  </si>
  <si>
    <t>'=L16-L17</t>
  </si>
  <si>
    <t>K20</t>
  </si>
  <si>
    <t>L20</t>
  </si>
  <si>
    <t>'=365-ABS(L19)</t>
  </si>
  <si>
    <t>K21</t>
  </si>
  <si>
    <t>L21</t>
  </si>
  <si>
    <t>'=IF(L20&gt;=30,1,0)</t>
  </si>
  <si>
    <t>L17</t>
  </si>
  <si>
    <t>'=D26</t>
  </si>
  <si>
    <t>'=IF(ISBLANK(D26),"",IF(L21=1,"","The rated period must be within 90 days of the Performance period"))</t>
  </si>
  <si>
    <t>D72</t>
  </si>
  <si>
    <t>'=IF($H$10=2018, J59, J45)</t>
  </si>
  <si>
    <t>'=IF($H$10=2017, J59, J45)</t>
  </si>
  <si>
    <t>Updated formula to reflect GHG emissions factor based on year</t>
  </si>
  <si>
    <t>D73</t>
  </si>
  <si>
    <t>'=IF($H$10=2018, J60, J46)</t>
  </si>
  <si>
    <t>'=IF($H$10=2017, J60, J46)</t>
  </si>
  <si>
    <t>D74</t>
  </si>
  <si>
    <t>'=IF($H$10=2018, J61, J47)</t>
  </si>
  <si>
    <t>'=IF($H$10=2017, J61, J47)</t>
  </si>
  <si>
    <t>'=IF($H$10=2018, J62, J48)</t>
  </si>
  <si>
    <t>'=IF($H$10=2018, J63, J49)</t>
  </si>
  <si>
    <t>'=IF($H$10=2018, J64, J50)</t>
  </si>
  <si>
    <t>'=IF($H$10=2018, J65, J51)</t>
  </si>
  <si>
    <t>'=IF($H$10=2018, J66, J52)</t>
  </si>
  <si>
    <t>'=IF($H$10=2018, J67, J53)</t>
  </si>
  <si>
    <t>'=IF($H$10=2018, J68, J54)</t>
  </si>
  <si>
    <t>Version v1.2, Release 4</t>
  </si>
  <si>
    <t>EC</t>
  </si>
  <si>
    <t>-</t>
  </si>
  <si>
    <t>All sheets</t>
  </si>
  <si>
    <t>Password change</t>
  </si>
  <si>
    <t>6GT8bxo*`N</t>
  </si>
  <si>
    <t>captainplanet</t>
  </si>
  <si>
    <t>Password updates for all calculators and scorecards</t>
  </si>
  <si>
    <t>Version v1.2, Release 5</t>
  </si>
  <si>
    <t>'13:13</t>
  </si>
  <si>
    <t>Added additional rows for project teams to select the targeted Green Star rating for the project</t>
  </si>
  <si>
    <t>B13</t>
  </si>
  <si>
    <t>Please select the targeted Green Star Rating for the project</t>
  </si>
  <si>
    <t>N6</t>
  </si>
  <si>
    <t>Please Select</t>
  </si>
  <si>
    <t>Added Star Ratings available for project teams to select as Drop down menu</t>
  </si>
  <si>
    <t>N8</t>
  </si>
  <si>
    <t>1 star</t>
  </si>
  <si>
    <t>N9</t>
  </si>
  <si>
    <t>2 star</t>
  </si>
  <si>
    <t>N10</t>
  </si>
  <si>
    <t>3 star</t>
  </si>
  <si>
    <t>N11</t>
  </si>
  <si>
    <t xml:space="preserve">4 Star </t>
  </si>
  <si>
    <t>N12</t>
  </si>
  <si>
    <t>5 Star</t>
  </si>
  <si>
    <t>N13</t>
  </si>
  <si>
    <t>6 Star</t>
  </si>
  <si>
    <t>Conditional requirements for 4 Star, 5 Star and 6 Star</t>
  </si>
  <si>
    <t>Added back end calculations to calculate the conditional requirements for 4,5 and 6 Star</t>
  </si>
  <si>
    <t>Targeted Star Rating</t>
  </si>
  <si>
    <t>Requirement for Best Practice Rating Achieved</t>
  </si>
  <si>
    <t>'=D43</t>
  </si>
  <si>
    <t>K22</t>
  </si>
  <si>
    <t>K23, N23</t>
  </si>
  <si>
    <t>'=D13</t>
  </si>
  <si>
    <t>L22</t>
  </si>
  <si>
    <t>'=IF(AND(L21="No",IF(ISNUMBER(MATCH(L20,N11:N13,0)),1,0)=1),"No","")</t>
  </si>
  <si>
    <t>'=IF(L22="No","Conditional Requirements not met for the targeted Green Star Rating","")</t>
  </si>
  <si>
    <t>Added prompt when the conditional requirements for 4,5 and  are not met</t>
  </si>
  <si>
    <t>=IF(OR(D13="Please Select",D13=""),"Please select the Green Star Rating targeted",IF(D23='AGO Emission Factors'!G8,VLOOKUP(D36,'Points Table'!B40:C50,2,FALSE),IF((D23='AGO Emission Factors'!G7),VLOOKUP(D36,'Points Table'!E40:F50,2,FALSE),IF((D23='AGO Emission Factors'!G9),VLOOKUP(D36,'Points Table'!E40:F50,2,FALSE),IF((D23='AGO Emission Factors'!G10),VLOOKUP(D36,'Points Table'!E40:F50,2,FALSE),"Rating Type Not Defined")))))</t>
  </si>
  <si>
    <t>=IF(D23='AGO Emission Factors'!G8,VLOOKUP(D36,'Points Table'!B40:C50,2,FALSE),IF((D23='AGO Emission Factors'!G7),VLOOKUP(D36,'Points Table'!E40:F50,2,FALSE),IF((D23='AGO Emission Factors'!G9),VLOOKUP(D36,'Points Table'!E40:F50,2,FALSE),IF((D23='AGO Emission Factors'!G10),VLOOKUP(D36,'Points Table'!E40:F50,2,FALSE),"Rating Type Not Defined"))))</t>
  </si>
  <si>
    <t>Amended formula to ensure project teams select the Green Star rating targeted for the project</t>
  </si>
  <si>
    <t>K24</t>
  </si>
  <si>
    <t>K25</t>
  </si>
  <si>
    <t>K26</t>
  </si>
  <si>
    <t>K27</t>
  </si>
  <si>
    <t>Condition Met</t>
  </si>
  <si>
    <t>L25</t>
  </si>
  <si>
    <t>L26</t>
  </si>
  <si>
    <t>'=D54</t>
  </si>
  <si>
    <t>L27</t>
  </si>
  <si>
    <t>'=IF(AND(L26="No",IF(ISNUMBER(MATCH(L25,N11:N13,0)),1,0)=1),"No","")</t>
  </si>
  <si>
    <t>E55</t>
  </si>
  <si>
    <t>'=IF(L27="No","Conditional Requirements not met for the targeted Green Star Rating","")</t>
  </si>
  <si>
    <t>D55</t>
  </si>
  <si>
    <t>=IF(OR(D13="Please Select",D13=""),"Please select the Green Star Rating targeted",IF(D30='AGO Emission Factors'!G8,VLOOKUP(D51,'Points Table'!B7:C30,2,TRUE),IF(D30='AGO Emission Factors'!G7,VLOOKUP(D51,'Points Table'!E7:F27,2,TRUE),IF(D30='AGO Emission Factors'!G9,VLOOKUP(D51,'Points Table'!E7:F27,2,TRUE),IF(D30='AGO Emission Factors'!G10,VLOOKUP(D51,'Points Table'!E7:F27,2,TRUE),"Rating Type Not Defined")))))</t>
  </si>
  <si>
    <t>=IF(D30='AGO Emission Factors'!G8,VLOOKUP(D51,'Points Table'!B7:C30,2,TRUE),IF(D30='AGO Emission Factors'!G7,VLOOKUP(D51,'Points Table'!E7:F27,2,TRUE),IF(D30='AGO Emission Factors'!G9,VLOOKUP(D51,'Points Table'!E7:F27,2,TRUE),IF(D30='AGO Emission Factors'!G10,VLOOKUP(D51,'Points Table'!E7:F27,2,TRUE),"Rating Type Not Defined")))))</t>
  </si>
  <si>
    <t>Version v1.2, Release 6</t>
  </si>
  <si>
    <t>'24:24, 11:11</t>
  </si>
  <si>
    <t>Moved the NABERS rating type selection to the top as first step to reflect the applicable units.</t>
  </si>
  <si>
    <t>Please select the NABERS rating type</t>
  </si>
  <si>
    <t>What is the NABERS rating type?</t>
  </si>
  <si>
    <t>Updated wording to keep it consistent</t>
  </si>
  <si>
    <t>Q40</t>
  </si>
  <si>
    <t>[MJ/m2 p.a.]</t>
  </si>
  <si>
    <t>Added units to the back end in a table format as applicable to the relevant NABERS rating types</t>
  </si>
  <si>
    <t>R40</t>
  </si>
  <si>
    <t>Rating Area</t>
  </si>
  <si>
    <t>S40</t>
  </si>
  <si>
    <t>Area in square metres (m2)</t>
  </si>
  <si>
    <t>Q41</t>
  </si>
  <si>
    <t>R41</t>
  </si>
  <si>
    <t>S41</t>
  </si>
  <si>
    <t>Q42</t>
  </si>
  <si>
    <t>R42</t>
  </si>
  <si>
    <t>S42</t>
  </si>
  <si>
    <t>Q43</t>
  </si>
  <si>
    <t>[MJ/room]</t>
  </si>
  <si>
    <t>R43</t>
  </si>
  <si>
    <t>Number of Guest Rooms</t>
  </si>
  <si>
    <t>S43</t>
  </si>
  <si>
    <t xml:space="preserve"># </t>
  </si>
  <si>
    <t>=IFNA(VLOOKUP($D$11,$K$40:$S$43,8, FALSE),"NABERS Rating type not defined")</t>
  </si>
  <si>
    <t>Rating area</t>
  </si>
  <si>
    <t>Added formula to pick up the relevant metric based on the NABERS rating type selected</t>
  </si>
  <si>
    <t>C24</t>
  </si>
  <si>
    <t>=IFNA(VLOOKUP($D$11,$K$40:$S$43,9, FALSE),"NABERS Rating type not defined")</t>
  </si>
  <si>
    <t>P50</t>
  </si>
  <si>
    <t>Added units to the back end in a table format as applicable to the relevant NABERS rating types and in line with the NABERS reverse calculator outputs.</t>
  </si>
  <si>
    <t>Q50</t>
  </si>
  <si>
    <t>R50</t>
  </si>
  <si>
    <t>S50</t>
  </si>
  <si>
    <t>Please enter hours of occupancy entered into reverse calculator</t>
  </si>
  <si>
    <t>T50</t>
  </si>
  <si>
    <t>Hours per week</t>
  </si>
  <si>
    <t>U50</t>
  </si>
  <si>
    <t>Please enter Maximum Greenhouse Emission Intensity (raw) Scope 1 and 2 for a 1 Star NABERS Energy rating</t>
  </si>
  <si>
    <t>P51</t>
  </si>
  <si>
    <t>Q51</t>
  </si>
  <si>
    <t>R51</t>
  </si>
  <si>
    <t>S51</t>
  </si>
  <si>
    <t>T51</t>
  </si>
  <si>
    <t>U51</t>
  </si>
  <si>
    <t>P52</t>
  </si>
  <si>
    <t>Q52</t>
  </si>
  <si>
    <t>R52</t>
  </si>
  <si>
    <t>S52</t>
  </si>
  <si>
    <t>T52</t>
  </si>
  <si>
    <t>U52</t>
  </si>
  <si>
    <t>Please enter the Actual Emissions  Scope 1 and 2 for a 1 Star NABERS Energy rating</t>
  </si>
  <si>
    <t>P53</t>
  </si>
  <si>
    <t>Q53</t>
  </si>
  <si>
    <t>Number of Guest rooms</t>
  </si>
  <si>
    <t>R53</t>
  </si>
  <si>
    <t>S53</t>
  </si>
  <si>
    <t>Please enter the number of guest rooms entered into the reverse calculator</t>
  </si>
  <si>
    <t>T53</t>
  </si>
  <si>
    <t>U53</t>
  </si>
  <si>
    <t>'31:31, 11:11</t>
  </si>
  <si>
    <t>Please select the NABERS rating type?</t>
  </si>
  <si>
    <t>What is the rating type?</t>
  </si>
  <si>
    <t>E21</t>
  </si>
  <si>
    <t>The figures must be the same as that included on the NABERS Energy certificate.</t>
  </si>
  <si>
    <t>Must be the same as the occupied hours included on NABERS Energy certificate.</t>
  </si>
  <si>
    <t>Updated language</t>
  </si>
  <si>
    <t>B21</t>
  </si>
  <si>
    <t>'=IFNA(VLOOKUP($D$11,$K$50:$U$53,9, FALSE),"NABERS Rating type not defined")</t>
  </si>
  <si>
    <t>'=IFNA(VLOOKUP($D$11,$K$50:$U$53,10, FALSE),"NABERS Rating type not defined")</t>
  </si>
  <si>
    <t>B22</t>
  </si>
  <si>
    <t>'=IFNA(VLOOKUP($D$11,$K$50:$U$53,11, FALSE),"NABERS Rating type not defined")</t>
  </si>
  <si>
    <t>C22</t>
  </si>
  <si>
    <t>'=IFNA(VLOOKUP($D$11,$K$50:$U$53,5, FALSE),"NABERS Rating type not defined")</t>
  </si>
  <si>
    <t>[kg CO2-e/m2 p.a.]</t>
  </si>
  <si>
    <t>B31</t>
  </si>
  <si>
    <t>'=IFNA(VLOOKUP($D$11,$K$50:$U$53,7, FALSE),"NABERS Rating type not defined")</t>
  </si>
  <si>
    <t>C31</t>
  </si>
  <si>
    <t>'=IFNA(VLOOKUP($D$11,$K$50:$U$53,8, FALSE),"NABERS Rating type not defined")</t>
  </si>
  <si>
    <t>'=IFNA(VLOOKUP($D$11,$K$50:$P$53,6, FALSE),"NABERS Rating type not defined")</t>
  </si>
  <si>
    <t>MJ/m2 p.a.</t>
  </si>
  <si>
    <t>=IF(OR(D14="Please Select",D14=""),"Please select the Green Star Rating targeted",IF(D11=K41,VLOOKUP(D36,'Points Table'!B40:C50,2,FALSE),IF((D11=K40),VLOOKUP(D36,'Points Table'!E40:F50,2,FALSE),IF((D11=K42),VLOOKUP(D36,'Points Table'!E40:F50,2,FALSE),IF(D11=K43,VLOOKUP(D36,'Points Table'!B40:C50,2,FALSE),"Rating Type Not Defined")))))</t>
  </si>
  <si>
    <t>=IF(OR(D14="Please Select",D14=""),"Please select the Green Star Rating targeted",IF(D11='AGO Emission Factors'!G8,VLOOKUP(D36,'Points Table'!B40:C50,2,FALSE),IF((D11='AGO Emission Factors'!G7),VLOOKUP(D36,'Points Table'!E40:F50,2,FALSE),IF((D11='AGO Emission Factors'!G9),VLOOKUP(D36,'Points Table'!E40:F50,2,FALSE),IF((D11='AGO Emission Factors'!G10),VLOOKUP(D36,'Points Table'!E40:F50,2,FALSE),"Rating Type Not Defined")))))</t>
  </si>
  <si>
    <t>Updated calculations to return points for whole building for NABERS for Hotels.</t>
  </si>
  <si>
    <t>=IF(OR(D14="Please Select",D14=""),"Please select the Green Star Rating targeted",IF(D11='AGO Emission Factors'!G8,VLOOKUP(D51,'Points Table'!B7:C30,2,TRUE),IF(D11='AGO Emission Factors'!G7,VLOOKUP(D51,'Points Table'!E7:F27,2,TRUE),IF(D11='AGO Emission Factors'!G9,VLOOKUP(D51,'Points Table'!E7:F27,2,TRUE),IF(D11='AGO Emission Factors'!G10,VLOOKUP(D51,'Points Table'!B7:B30,2,TRUE),"Rating Type Not Defined")))))</t>
  </si>
  <si>
    <t>=IF(OR(D14="Please Select",D14=""),"Please select the Green Star Rating targeted",IF(D11='AGO Emission Factors'!G8,VLOOKUP(D51,'Points Table'!B7:C30,2,TRUE),IF(D11='AGO Emission Factors'!G7,VLOOKUP(D51,'Points Table'!E7:F27,2,TRUE),IF(D11='AGO Emission Factors'!G9,VLOOKUP(D51,'Points Table'!E7:F27,2,TRUE),IF(D11='AGO Emission Factors'!G10,VLOOKUP(D51,'Points Table'!E7:F27,2,TRUE),"Rating Type Not Defined")))))</t>
  </si>
  <si>
    <t>Version v1.2, Release 7</t>
  </si>
  <si>
    <t>TC</t>
  </si>
  <si>
    <t>B8</t>
  </si>
  <si>
    <t>Please enter the project (asset) Green Star number</t>
  </si>
  <si>
    <t>Please enter the project's Green Star number.</t>
  </si>
  <si>
    <t>Update wording so that project teams don't enter the portfolio GS number</t>
  </si>
  <si>
    <t>'48:49</t>
  </si>
  <si>
    <t>Updating calculation of Percentage of Engaged Tenant Area (%) to be a ratio of total tenant area instead of total building area</t>
  </si>
  <si>
    <t>Please enter the total area of all tenants</t>
  </si>
  <si>
    <t>D87</t>
  </si>
  <si>
    <t>'=IFERROR(D86/D48,0)</t>
  </si>
  <si>
    <t>'=IFERROR(D86/D24,0)</t>
  </si>
  <si>
    <t>'59:60</t>
  </si>
  <si>
    <t>B59</t>
  </si>
  <si>
    <t>D97</t>
  </si>
  <si>
    <t>'=IFERROR(D97/D59,0)</t>
  </si>
  <si>
    <t>'=IFERROR(D97/D31,0)</t>
  </si>
  <si>
    <t>Version v1.2, Release 8</t>
  </si>
  <si>
    <t>JN</t>
  </si>
  <si>
    <t>M51:O51</t>
  </si>
  <si>
    <t>- Total greenhouse gas emissions (full fuel cycle - scope 1, 2 &amp; 3)
- Greenhouse gas intensity (scope 1 &amp; 2)
- Predicted average intensity (full fuel cycle - scope 1, 2 &amp; 3)</t>
  </si>
  <si>
    <t>- Total greenhouse gas emissions
- Greenhouse gas emissions per m2 GLAR
- Predicted annual greenhouse gas emissions per m2 GLAR for a comparable shopping centre</t>
  </si>
  <si>
    <t>Updating to align with NABERS reports for shopping centres</t>
  </si>
  <si>
    <t>M40:O40</t>
  </si>
  <si>
    <t>B35:B42</t>
  </si>
  <si>
    <t>-	Onsite Renewable Electricity
-	RET and State/Territory targets
-	GreenPower
-	Other Voluntary Purchases
-	Total Renewable Electricity
-	Non-Renewable electricity
-	Gas and LPG
-	Diesel</t>
  </si>
  <si>
    <t>-	Electricity
-	GreenPower
-	Gas
-	Diesel
-	Coal</t>
  </si>
  <si>
    <t>Updating to align with NABERS reports and how energy breakdown is reported</t>
  </si>
  <si>
    <t>B27:B34</t>
  </si>
  <si>
    <t>U53:U56</t>
  </si>
  <si>
    <t>-Benchmarking Emissions Intensity at 1 Stars NABERS Energy</t>
  </si>
  <si>
    <t>-	Please enter Maximum Greenhouse Emission Intensity (raw) Scope 1 and 2 for a 1 Star NABERS Energy rating
-	Please enter Maximum Greenhouse Emission Intensity (raw) Scope 1 and 2 for a 1 Star NABERS Energy rating
-	Please enter the Actual Emissions Scope 1 and 2 for a 1 Star NABERS Energy rating
-	Please enter the Actual Emissions  Scope 1 and 2 for a 1 Star NABERS Energy rating</t>
  </si>
  <si>
    <t>Updating to align with online NABERS reverse calculators.</t>
  </si>
  <si>
    <t>D53</t>
  </si>
  <si>
    <t>=IF(D11="Hotel", D49, D50)</t>
  </si>
  <si>
    <t xml:space="preserve">Updated to compare scope 1,2,3 vs scope 1,2,3 </t>
  </si>
  <si>
    <t>Version v1.2, Release 9</t>
  </si>
  <si>
    <t>L51:O51</t>
  </si>
  <si>
    <t xml:space="preserve">- Total greenhouse gas emissions (scope 1 &amp; 2)   
- Total greenhouse gas emissions (full fuel cycle - scope 1, 2 &amp; 3)
- Greenhouse gas intensity (scope 1 &amp; 2)
- Greenhouse gas intensity (full fuel cycle – scope 1, 2 &amp; 3) </t>
  </si>
  <si>
    <t>- Energy intensity
- Total greenhouse gas emissions
- Greenhouse gas emissions per room
- Predicted average greenhouse gas emissions for a comparable hotel</t>
  </si>
  <si>
    <t>Updated to to align with NABERS reports for hotels</t>
  </si>
  <si>
    <t>=D50</t>
  </si>
  <si>
    <t>Because of update in above (row 442), the formula is no longer needed. D50 = scope 1/2/3 intensity</t>
  </si>
  <si>
    <t>O50</t>
  </si>
  <si>
    <t xml:space="preserve">- Greenhouse gas intensity (full fuel cycle – scope 1, 2 &amp; 3) </t>
  </si>
  <si>
    <t>- Predicted average intensity (full fuel cycle - scope 1, 2 &amp; 3)</t>
  </si>
  <si>
    <t>Updated to align with NABERS reports for shopping centres - this was incorrect in the last update and the calc. This update now correctly compares the scope 1/2/3 intensity to the nabers rc benchmark</t>
  </si>
  <si>
    <t>15A NABERS Simple</t>
  </si>
  <si>
    <t>L41:O41</t>
  </si>
  <si>
    <t xml:space="preserve">- Total greenhouse gas emissions (full fuel cycle - scope 1 &amp; 2)
- Total greenhouse gas emissions (full fuel cycle - scope 1, 2 &amp; 3)
- Greenhouse gas intensity (scope 1 &amp; 2)
- Greenhouse gas intensity (full fuel cycle – scope 1, 2 &amp; 3) </t>
  </si>
  <si>
    <t>Same as above but for Simple Pathway. Updated to to align with NABERS reports for hotels</t>
  </si>
  <si>
    <t>L40:O40</t>
  </si>
  <si>
    <t>Energy intensity
- Total greenhouse gas emissions (full fuel cycle - scope 1, 2 &amp; 3)
- Greenhouse gas intensity (scope 1 &amp; 2)
- Predicted average intensity (full fuel cycle - scope 1, 2 &amp; 3)</t>
  </si>
  <si>
    <t>Same as above but for Simple Pathway. Updated to align for shopping centre.</t>
  </si>
  <si>
    <t>15A Simple (Portfolio)</t>
  </si>
  <si>
    <t>Added new sheet for portfolios to use as a bulk calculator</t>
  </si>
  <si>
    <t>15A Detailed (Portfolio)</t>
  </si>
  <si>
    <t>Cell Types</t>
  </si>
  <si>
    <t>User input cell.</t>
  </si>
  <si>
    <t xml:space="preserve">Please fill in these cells only (white background). </t>
  </si>
  <si>
    <t>Calculation cell.</t>
  </si>
  <si>
    <t>These cells are used for calculating user input values, please do not attempt to modify these cells (light blue background).</t>
  </si>
  <si>
    <t>Results cell.</t>
  </si>
  <si>
    <t>These cells are used to display the results from all calculations (blue background).</t>
  </si>
  <si>
    <t>Reference cell.</t>
  </si>
  <si>
    <t>These cells are used to display instructions in completing the user input cells and also provide references to the Submission Guidelines e.g. credit benchmarks (light grey background).</t>
  </si>
  <si>
    <t>Instructions</t>
  </si>
  <si>
    <r>
      <t xml:space="preserve">Under the 15A Greenhouse Gas Emissions - NABERS pathway, projects may elect to use either the 'simple' or 'detailed' pathway to target points. The simple pathway awards points based on the NABERS star rating achieved as per Table 15A.3 of the Submission Guidelines. The detailed pathway awards points based on the improvement on greenhouse gas emissions intensity when compared to a 1 star NABERS rating for the same building, determined using NABERS reverse calculators.
To complete the calculator, please see the below instructions.
Please complete the </t>
    </r>
    <r>
      <rPr>
        <i/>
        <sz val="10"/>
        <color theme="1"/>
        <rFont val="Arial"/>
        <family val="2"/>
        <scheme val="minor"/>
      </rPr>
      <t>'15A NABERS Energy Simple'</t>
    </r>
    <r>
      <rPr>
        <sz val="10"/>
        <color theme="1"/>
        <rFont val="Arial"/>
        <family val="2"/>
        <scheme val="minor"/>
      </rPr>
      <t xml:space="preserve"> or </t>
    </r>
    <r>
      <rPr>
        <i/>
        <sz val="10"/>
        <color theme="1"/>
        <rFont val="Arial"/>
        <family val="2"/>
        <scheme val="minor"/>
      </rPr>
      <t>'15A NABERS Energy Detailed'</t>
    </r>
    <r>
      <rPr>
        <sz val="10"/>
        <color theme="1"/>
        <rFont val="Arial"/>
        <family val="2"/>
        <scheme val="minor"/>
      </rPr>
      <t xml:space="preserve"> tab for:
- Individual building submissions
Please complete the '</t>
    </r>
    <r>
      <rPr>
        <i/>
        <sz val="10"/>
        <color theme="1"/>
        <rFont val="Arial"/>
        <family val="2"/>
        <scheme val="minor"/>
      </rPr>
      <t>15A Portfolio Calculator</t>
    </r>
    <r>
      <rPr>
        <sz val="10"/>
        <color theme="1"/>
        <rFont val="Arial"/>
        <family val="2"/>
        <scheme val="minor"/>
      </rPr>
      <t xml:space="preserve">' tab for:
- Portfolio submissions
- Individual submissions with NABERS ratings for Warehouse and Cold Store, Residential Aged Care, Retirement Living, or Co-Located Facility
When completing the '15A Portfolio Calculator' tab, please follow the below instructions: 
</t>
    </r>
    <r>
      <rPr>
        <b/>
        <sz val="10"/>
        <color theme="1"/>
        <rFont val="Arial"/>
        <family val="2"/>
        <scheme val="minor"/>
      </rPr>
      <t>Step 1:</t>
    </r>
    <r>
      <rPr>
        <sz val="10"/>
        <color theme="1"/>
        <rFont val="Arial"/>
        <family val="2"/>
        <scheme val="minor"/>
      </rPr>
      <t xml:space="preserve"> Enter the Performance Period for the Portfolio at the top of the worksheet.
</t>
    </r>
    <r>
      <rPr>
        <b/>
        <sz val="10"/>
        <color theme="1"/>
        <rFont val="Arial"/>
        <family val="2"/>
        <scheme val="minor"/>
      </rPr>
      <t>Step 2:</t>
    </r>
    <r>
      <rPr>
        <sz val="10"/>
        <color theme="1"/>
        <rFont val="Arial"/>
        <family val="2"/>
        <scheme val="minor"/>
      </rPr>
      <t xml:space="preserve"> Complete the Building Information section, denoted by the </t>
    </r>
    <r>
      <rPr>
        <b/>
        <sz val="10"/>
        <color theme="6"/>
        <rFont val="Arial"/>
        <family val="2"/>
        <scheme val="minor"/>
      </rPr>
      <t>light blue columns</t>
    </r>
    <r>
      <rPr>
        <sz val="10"/>
        <color theme="1"/>
        <rFont val="Arial"/>
        <family val="2"/>
        <scheme val="minor"/>
      </rPr>
      <t xml:space="preserve">.
</t>
    </r>
    <r>
      <rPr>
        <b/>
        <sz val="10"/>
        <color theme="1"/>
        <rFont val="Arial"/>
        <family val="2"/>
        <scheme val="minor"/>
      </rPr>
      <t>Step 3:</t>
    </r>
    <r>
      <rPr>
        <sz val="10"/>
        <color theme="1"/>
        <rFont val="Arial"/>
        <family val="2"/>
        <scheme val="minor"/>
      </rPr>
      <t xml:space="preserve"> Complete the NABERS section, denoted by the </t>
    </r>
    <r>
      <rPr>
        <b/>
        <sz val="10"/>
        <color theme="4" tint="-0.499984740745262"/>
        <rFont val="Arial"/>
        <family val="2"/>
        <scheme val="minor"/>
      </rPr>
      <t>dark blue columns</t>
    </r>
    <r>
      <rPr>
        <sz val="10"/>
        <color theme="1"/>
        <rFont val="Arial"/>
        <family val="2"/>
        <scheme val="minor"/>
      </rPr>
      <t xml:space="preserve">, by copying information from each building's NABERS Report.
</t>
    </r>
    <r>
      <rPr>
        <b/>
        <sz val="10"/>
        <color theme="1"/>
        <rFont val="Arial"/>
        <family val="2"/>
        <scheme val="minor"/>
      </rPr>
      <t>Step 4:</t>
    </r>
    <r>
      <rPr>
        <sz val="10"/>
        <color theme="1"/>
        <rFont val="Arial"/>
        <family val="2"/>
        <scheme val="minor"/>
      </rPr>
      <t xml:space="preserve"> Select the intended compliance pathway (Simple or Detailed). If Detailed pathway selected, please complete the 'Benchmarking Intensity at 1 Star' column by completing a NABERS Reverse calculator for the building. Please also include a copy of the reverse calculator in your submission. The reverse calculator is available here: https://www.nabers.gov.au/rating-tools/our-calculators/setting-targets-using-reverse-calculators
</t>
    </r>
    <r>
      <rPr>
        <b/>
        <sz val="10"/>
        <color theme="1"/>
        <rFont val="Arial"/>
        <family val="2"/>
        <scheme val="minor"/>
      </rPr>
      <t>Step 6:</t>
    </r>
    <r>
      <rPr>
        <sz val="10"/>
        <color theme="1"/>
        <rFont val="Arial"/>
        <family val="2"/>
        <scheme val="minor"/>
      </rPr>
      <t xml:space="preserve"> The calculated points are summarised in the Results section, denoted by the </t>
    </r>
    <r>
      <rPr>
        <b/>
        <sz val="10"/>
        <color theme="4"/>
        <rFont val="Arial"/>
        <family val="2"/>
        <scheme val="minor"/>
      </rPr>
      <t>blue columns</t>
    </r>
    <r>
      <rPr>
        <sz val="10"/>
        <color theme="1"/>
        <rFont val="Arial"/>
        <family val="2"/>
        <scheme val="minor"/>
      </rPr>
      <t xml:space="preserve">.
</t>
    </r>
    <r>
      <rPr>
        <b/>
        <sz val="10"/>
        <color theme="1"/>
        <rFont val="Arial"/>
        <family val="2"/>
        <scheme val="minor"/>
      </rPr>
      <t xml:space="preserve">Step 7: </t>
    </r>
    <r>
      <rPr>
        <sz val="10"/>
        <color theme="1"/>
        <rFont val="Arial"/>
        <family val="2"/>
        <scheme val="minor"/>
      </rPr>
      <t xml:space="preserve">Where an asset is targeting a Climate Active certification via Green Star - Performance, please complete the Climate Active section denoted by the </t>
    </r>
    <r>
      <rPr>
        <b/>
        <sz val="10"/>
        <color theme="9" tint="-0.249977111117893"/>
        <rFont val="Arial"/>
        <family val="2"/>
        <scheme val="minor"/>
      </rPr>
      <t>grey columns</t>
    </r>
    <r>
      <rPr>
        <sz val="10"/>
        <color theme="1"/>
        <rFont val="Arial"/>
        <family val="2"/>
        <scheme val="minor"/>
      </rPr>
      <t>.
This '15A Portfolio Calculator' tab is provided to allow Green Star Performance portfolio's to target the Greenhouse Gas Emissions credit using a single spreadsheet. 
For the '15A Portfolio Calculator' tab, please refer to the following legend for guidance.</t>
    </r>
  </si>
  <si>
    <t>Building Information</t>
  </si>
  <si>
    <t>These columns are completed by based on the building information</t>
  </si>
  <si>
    <t>NABERS Rating Details</t>
  </si>
  <si>
    <t>These columns are completed by copying the figures from the NABERS Report</t>
  </si>
  <si>
    <t>Support</t>
  </si>
  <si>
    <t xml:space="preserve">Please ensure to reference the Green Star - Performance v1 Submission Guidelines for guidance on how to complete the calculators. Submission Templates and Calculators jointly respond to credit requirements as outlined in the submission guidelines. The GBCA advises consulting and using each of these documents and any relevant supporting materials as needed to support an informed and consistent approach to your submission.
For any queries or additional information, please contact your project's GBCA Case Manager. </t>
  </si>
  <si>
    <t>15A NABERS ENERGY - SIMPLIFIED APPROACH IN ACCORDANCE WITH 15A.3.1</t>
  </si>
  <si>
    <t>Part 1 - Building Information</t>
  </si>
  <si>
    <t>Building Details</t>
  </si>
  <si>
    <t>0 Star</t>
  </si>
  <si>
    <t>1 Star</t>
  </si>
  <si>
    <t>Please enter the building's address or name</t>
  </si>
  <si>
    <t>Requirements for Alignment of Rated period with the Overall Performance period</t>
  </si>
  <si>
    <t>2 Star</t>
  </si>
  <si>
    <t>Please select the primary space use in the building</t>
  </si>
  <si>
    <t>3 Star</t>
  </si>
  <si>
    <t>Tenant ratings currently not being assessed in GS.</t>
  </si>
  <si>
    <t>Initial Certification</t>
  </si>
  <si>
    <t>The project's end date of Performance Period:</t>
  </si>
  <si>
    <t>Please select whether the project is undertaking Initial Certification or Recertification.</t>
  </si>
  <si>
    <t>Recertification</t>
  </si>
  <si>
    <t>Difference between Start of performance period and Start date of rated period</t>
  </si>
  <si>
    <t>Part 2 - NABERS Energy Certificate data</t>
  </si>
  <si>
    <t>General Rating Inputs</t>
  </si>
  <si>
    <t>What is the rating period on the NABERS Energy Certificate?</t>
  </si>
  <si>
    <t>Start Date (dd/mm/yyyy)</t>
  </si>
  <si>
    <t>End Date (dd/mm/yyyy)</t>
  </si>
  <si>
    <t>What is the date of the NABERS Energy Certificate expiry?</t>
  </si>
  <si>
    <t>dd/mm/yyyy</t>
  </si>
  <si>
    <t xml:space="preserve">Conditional Requirements Met for 4,5 &amp; 6 met? </t>
  </si>
  <si>
    <t>Energy Consumption Details</t>
  </si>
  <si>
    <t>Onsite Renewable Electricity</t>
  </si>
  <si>
    <t>RET and State/Territory targets</t>
  </si>
  <si>
    <t>GreenPower</t>
  </si>
  <si>
    <t>Other Voluntary Purchases</t>
  </si>
  <si>
    <t>Total Renewable Electricity</t>
  </si>
  <si>
    <t>Non-Renewable electricity</t>
  </si>
  <si>
    <t>Gas and LPG</t>
  </si>
  <si>
    <t>MJ</t>
  </si>
  <si>
    <t>Diesel</t>
  </si>
  <si>
    <t>L</t>
  </si>
  <si>
    <t>General Rating Outputs</t>
  </si>
  <si>
    <t>Table to determine the metric to be used in the calculator, depending on the NABERS Rating selected</t>
  </si>
  <si>
    <t>Energy intensity</t>
  </si>
  <si>
    <r>
      <t>MJ/m</t>
    </r>
    <r>
      <rPr>
        <b/>
        <vertAlign val="superscript"/>
        <sz val="10"/>
        <color theme="1"/>
        <rFont val="Arial"/>
        <family val="2"/>
      </rPr>
      <t>2</t>
    </r>
    <r>
      <rPr>
        <b/>
        <sz val="10"/>
        <color theme="1"/>
        <rFont val="Arial"/>
        <family val="2"/>
      </rPr>
      <t xml:space="preserve"> p.a.</t>
    </r>
  </si>
  <si>
    <t>Rating tool</t>
  </si>
  <si>
    <t>Units for reporting</t>
  </si>
  <si>
    <t>Star rating (excluding GreenPower)</t>
  </si>
  <si>
    <t>Stars</t>
  </si>
  <si>
    <t>See 15.0.5 for details on the Minimum Performance Requirement</t>
  </si>
  <si>
    <t>Office - Base Building</t>
  </si>
  <si>
    <t xml:space="preserve">Total greenhouse gas emissions (scope 1 &amp; 2)  </t>
  </si>
  <si>
    <t xml:space="preserve">Total greenhouse gas emissions (full fuel cycle – scope 1, 2 &amp; 3) </t>
  </si>
  <si>
    <t xml:space="preserve">Greenhouse gas intensity (scope 1 &amp; 2) </t>
  </si>
  <si>
    <t xml:space="preserve">Greenhouse gas intensity (full fuel cycle – scope 1, 2 &amp; 3) </t>
  </si>
  <si>
    <t>Benchmarking factor (previously know as Normalised Emissions)</t>
  </si>
  <si>
    <t>Star rating (including GreenPower)</t>
  </si>
  <si>
    <t>Office - Whole Building</t>
  </si>
  <si>
    <t>Shopping Centre</t>
  </si>
  <si>
    <t>Total greenhouse gas emissions (full fuel cycle - scope 1, 2 &amp; 3)</t>
  </si>
  <si>
    <t>Greenhouse gas intensity (scope 1 &amp; 2)</t>
  </si>
  <si>
    <t>Predicted average intensity (full fuel cycle - scope 1, 2 &amp; 3)</t>
  </si>
  <si>
    <t>Not Applicable</t>
  </si>
  <si>
    <t>Hotel</t>
  </si>
  <si>
    <t>Not applicable</t>
  </si>
  <si>
    <r>
      <t>[kg CO</t>
    </r>
    <r>
      <rPr>
        <vertAlign val="subscript"/>
        <sz val="10"/>
        <color theme="1"/>
        <rFont val="Arial"/>
        <family val="2"/>
      </rPr>
      <t>2</t>
    </r>
    <r>
      <rPr>
        <sz val="10"/>
        <color theme="1"/>
        <rFont val="Arial"/>
        <family val="2"/>
      </rPr>
      <t>-e p.a.]</t>
    </r>
  </si>
  <si>
    <r>
      <t>[kg 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 xml:space="preserve"> p.a.]</t>
    </r>
  </si>
  <si>
    <t>#</t>
  </si>
  <si>
    <t>Points</t>
  </si>
  <si>
    <r>
      <t>[MJ</t>
    </r>
    <r>
      <rPr>
        <sz val="10"/>
        <color theme="1"/>
        <rFont val="Arial"/>
        <family val="2"/>
      </rPr>
      <t>/m</t>
    </r>
    <r>
      <rPr>
        <vertAlign val="superscript"/>
        <sz val="10"/>
        <color theme="1"/>
        <rFont val="Arial"/>
        <family val="2"/>
      </rPr>
      <t>2</t>
    </r>
    <r>
      <rPr>
        <sz val="10"/>
        <color theme="1"/>
        <rFont val="Arial"/>
        <family val="2"/>
      </rPr>
      <t xml:space="preserve"> p.a.]</t>
    </r>
  </si>
  <si>
    <r>
      <t>[MJ</t>
    </r>
    <r>
      <rPr>
        <sz val="10"/>
        <color theme="1"/>
        <rFont val="Arial"/>
        <family val="2"/>
      </rPr>
      <t>/room]</t>
    </r>
  </si>
  <si>
    <r>
      <t>[kg CO</t>
    </r>
    <r>
      <rPr>
        <vertAlign val="subscript"/>
        <sz val="10"/>
        <color theme="1"/>
        <rFont val="Arial"/>
        <family val="2"/>
      </rPr>
      <t>2</t>
    </r>
    <r>
      <rPr>
        <sz val="10"/>
        <color theme="1"/>
        <rFont val="Arial"/>
        <family val="2"/>
      </rPr>
      <t>-e/room p.a.]</t>
    </r>
  </si>
  <si>
    <t>Points achieved</t>
  </si>
  <si>
    <t>Warehouse and Cold Store</t>
  </si>
  <si>
    <t>GFA m2</t>
  </si>
  <si>
    <t>Residential Aged Care</t>
  </si>
  <si>
    <t>occupied bed day</t>
  </si>
  <si>
    <r>
      <t>[kg CO</t>
    </r>
    <r>
      <rPr>
        <vertAlign val="subscript"/>
        <sz val="10"/>
        <color theme="1"/>
        <rFont val="Arial"/>
        <family val="2"/>
      </rPr>
      <t>2</t>
    </r>
    <r>
      <rPr>
        <sz val="10"/>
        <color theme="1"/>
        <rFont val="Arial"/>
        <family val="2"/>
      </rPr>
      <t>-e/OBD p.a.]</t>
    </r>
  </si>
  <si>
    <t>Part 3 - Tenant Engagement - Input Data (where a Base Building or Shopping Centre NABERS Energy rating is used)</t>
  </si>
  <si>
    <t>Retirement Living</t>
  </si>
  <si>
    <r>
      <t>site area m</t>
    </r>
    <r>
      <rPr>
        <vertAlign val="superscript"/>
        <sz val="11"/>
        <color theme="1"/>
        <rFont val="Arial"/>
        <family val="2"/>
      </rPr>
      <t>2</t>
    </r>
  </si>
  <si>
    <t>Co-Located Facility</t>
  </si>
  <si>
    <t>Tenant 1</t>
  </si>
  <si>
    <t>Tenant Engagement Pathway</t>
  </si>
  <si>
    <t>See 15.0.4 for details on the Tenant Engagement Pathway</t>
  </si>
  <si>
    <t>Tenant name</t>
  </si>
  <si>
    <t>Area (m2)</t>
  </si>
  <si>
    <t>Simple</t>
  </si>
  <si>
    <t>Space use or type</t>
  </si>
  <si>
    <t>Detailed</t>
  </si>
  <si>
    <t>Hours of Operation</t>
  </si>
  <si>
    <t>Location-based</t>
  </si>
  <si>
    <t>Tenant 2</t>
  </si>
  <si>
    <t>Market-based</t>
  </si>
  <si>
    <t>Tenant 3</t>
  </si>
  <si>
    <t>Tenant 4</t>
  </si>
  <si>
    <t>Tenant 5</t>
  </si>
  <si>
    <r>
      <t>Total engaged tenanted area  (m</t>
    </r>
    <r>
      <rPr>
        <b/>
        <vertAlign val="superscript"/>
        <sz val="10"/>
        <color theme="1"/>
        <rFont val="Arial"/>
        <family val="2"/>
      </rPr>
      <t>2</t>
    </r>
    <r>
      <rPr>
        <b/>
        <sz val="10"/>
        <color theme="1"/>
        <rFont val="Arial"/>
        <family val="2"/>
      </rPr>
      <t>)</t>
    </r>
  </si>
  <si>
    <t>Percentage of Engaged Tenant Area (%)</t>
  </si>
  <si>
    <t>Points Allocation</t>
  </si>
  <si>
    <t>Tenant Engagement</t>
  </si>
  <si>
    <t>Please contact your Technical Coordinator if more cells are required.</t>
  </si>
  <si>
    <t>Total Points Awarded</t>
  </si>
  <si>
    <t>Powered by Renewables Innovation Challenge</t>
  </si>
  <si>
    <t>Renewable Energy Source</t>
  </si>
  <si>
    <t>Meter No.</t>
  </si>
  <si>
    <t>Input Unit of Measure</t>
  </si>
  <si>
    <t>Description of coverage</t>
  </si>
  <si>
    <t>Conversion to GJ</t>
  </si>
  <si>
    <t>Supplier</t>
  </si>
  <si>
    <t>Account number</t>
  </si>
  <si>
    <t>Start of metered period</t>
  </si>
  <si>
    <t>End of metered period</t>
  </si>
  <si>
    <t>Produced Amount (kWh)</t>
  </si>
  <si>
    <t>Days in billing period</t>
  </si>
  <si>
    <t>Days in performance period</t>
  </si>
  <si>
    <t>Energy in performance period (kWh)</t>
  </si>
  <si>
    <t>TOTAL</t>
  </si>
  <si>
    <t>Total Energy Consumption (GJ)</t>
  </si>
  <si>
    <t>Electricity Consumption (GJ)</t>
  </si>
  <si>
    <t>1 kWh =</t>
  </si>
  <si>
    <t>GJ</t>
  </si>
  <si>
    <t>Fossil Fuel use (GJ)</t>
  </si>
  <si>
    <t>Onsite Renewable Electricity (GJ)</t>
  </si>
  <si>
    <t>Decision box</t>
  </si>
  <si>
    <t>Percentage of fossil fuels used on site</t>
  </si>
  <si>
    <t>True?</t>
  </si>
  <si>
    <t>% FF</t>
  </si>
  <si>
    <t>E118</t>
  </si>
  <si>
    <t>F118</t>
  </si>
  <si>
    <t>G118</t>
  </si>
  <si>
    <t>Percentage of Onsite Renewable Electricity</t>
  </si>
  <si>
    <t>%FF=0</t>
  </si>
  <si>
    <t>Percentage of Total Renewable Electricity</t>
  </si>
  <si>
    <t>0&lt;%FF&lt;=1</t>
  </si>
  <si>
    <t>Are there commercial alternatives to fossil fuel use on site?</t>
  </si>
  <si>
    <t>Yes OR ""</t>
  </si>
  <si>
    <t>Powered by renewables</t>
  </si>
  <si>
    <t>No</t>
  </si>
  <si>
    <t>Have offsets equal to these emissions been purchased &amp; retired?</t>
  </si>
  <si>
    <t>Energy Efficiency requirement achieved?</t>
  </si>
  <si>
    <t>1&lt;%FF&lt;=5</t>
  </si>
  <si>
    <t>Has a public commitment to transition been made?</t>
  </si>
  <si>
    <t>Yes</t>
  </si>
  <si>
    <t>Fuel Switching requirement achieved?</t>
  </si>
  <si>
    <t>No OR ""</t>
  </si>
  <si>
    <t>100% Renewable electricity requirement</t>
  </si>
  <si>
    <t>%FF&gt;5</t>
  </si>
  <si>
    <t>Onsite renewables Innovation Points</t>
  </si>
  <si>
    <t>Percentage of onsite renewable energy</t>
  </si>
  <si>
    <t>Points available</t>
  </si>
  <si>
    <t>=/&gt;</t>
  </si>
  <si>
    <t>1 point</t>
  </si>
  <si>
    <t>&gt;</t>
  </si>
  <si>
    <t>2 points</t>
  </si>
  <si>
    <t>15A NABERS ENERGY - DETAILED APPROACH IN ACCORDANCE WITH 15A.3.2</t>
  </si>
  <si>
    <t>Please select the Green Star Rating targeted for the project</t>
  </si>
  <si>
    <t>Part 2 - Establish Benchmark Using NABERS Reverse Calculator</t>
  </si>
  <si>
    <t>Please enter building postcode entered into reverse calculator</t>
  </si>
  <si>
    <t>Must be the same as the postcode included on NABERS Energy certificate.</t>
  </si>
  <si>
    <t>Part 3 - NABERS Energy Certificate data</t>
  </si>
  <si>
    <t>Where renewables are procured beyond the RET, projects may use the ‘with renewable electricity’ figure</t>
  </si>
  <si>
    <t>Nominal Minimum Baseline</t>
  </si>
  <si>
    <t>Building to be rated</t>
  </si>
  <si>
    <t>Benchmarking Emissions Intensity at 1 Stars NABERS Energy</t>
  </si>
  <si>
    <t>Improvement</t>
  </si>
  <si>
    <t>%</t>
  </si>
  <si>
    <t>Part 4 - Tenant Engagement - Input Data (where a Base Building NABERS Energy rating or Shopping Centre NABERS Energy rating is used)</t>
  </si>
  <si>
    <t>Please contact your Technical Coordinator if more cells area required.</t>
  </si>
  <si>
    <t xml:space="preserve">Onsite Renewables </t>
  </si>
  <si>
    <t>This '15B Portfolio Calculator' is for:</t>
  </si>
  <si>
    <t xml:space="preserve">- Portfolio submissions and individual submissions for building types that have a Pathway B energy benchmark in NZ: Retail, Shopping Centres (without supermarkets), </t>
  </si>
  <si>
    <t>Logistics Warehouses (non-refrigerated and distribution centre). Refer to the NZGBC Guidance for Rating Warehouses with Green Star Performance for industrial properties.</t>
  </si>
  <si>
    <t>- Note that office buildings must use Pathway 15A NABERSNZ rating if possible. Reasons must be provided to NZGBC of why they need to use Pathway 15B.</t>
  </si>
  <si>
    <t>-To form a composite benchmark with multiple functional space types, please use the Pathway 15B calculator. Eg a building with a portion of retail and a portion of storage warehouse.</t>
  </si>
  <si>
    <t xml:space="preserve">- Each building is able to have its own performance period (at least 12 months of consumption being measured) to match the billing/measurement periods of the evidence; </t>
  </si>
  <si>
    <t xml:space="preserve">each building is able to have a slightly different performance period as long as they are within 3 months of the portfolio's performance period (as entered into the scorecard). </t>
  </si>
  <si>
    <t>Please use the table at the bottom of the 'Portfolio Information' tab to check your performance periods are compliant.</t>
  </si>
  <si>
    <t>15B ENERGY PATHWAY - PORTFOLIO</t>
  </si>
  <si>
    <t>Please read the Calculator Information tab before proceeding.</t>
  </si>
  <si>
    <t>Energy consumption data</t>
  </si>
  <si>
    <t>Result</t>
  </si>
  <si>
    <t>Notes</t>
  </si>
  <si>
    <t>Please enter the building's name.</t>
  </si>
  <si>
    <t>Please select the targeted Green Star rating for this building</t>
  </si>
  <si>
    <t>Scope of emissions captured in this analysis (base building or whole building)</t>
  </si>
  <si>
    <t>Street Address (number, street name, and suburb, if applicable)</t>
  </si>
  <si>
    <t>Postcode</t>
  </si>
  <si>
    <t>City</t>
  </si>
  <si>
    <t>Country</t>
  </si>
  <si>
    <t>Start of the building's Performance period</t>
  </si>
  <si>
    <t>End of the building's Performance period</t>
  </si>
  <si>
    <t>Days in the building's Performance period</t>
  </si>
  <si>
    <t>Emission factors</t>
  </si>
  <si>
    <t>Primary Building Use (optional)</t>
  </si>
  <si>
    <t>Building description (features of building, typical operations in building, etc)</t>
  </si>
  <si>
    <t>Rated area (m2) - this bulk upload template can only be used for buildings where there is only one building type and one functional space</t>
  </si>
  <si>
    <t>Hours of operation - this must be the hours for a single functional space, do not create an average of hours
(hours / week)</t>
  </si>
  <si>
    <t>Duration of operation within performance period (days)</t>
  </si>
  <si>
    <t>Select applicable benchmark - note only building types with Pathway B benchmarks are able to use this bulk upload template</t>
  </si>
  <si>
    <t>Please enter the start of the electricity data period</t>
  </si>
  <si>
    <t>End of data period</t>
  </si>
  <si>
    <t>Days in Elect data period</t>
  </si>
  <si>
    <t>Annual electricity consumption (kWh)</t>
  </si>
  <si>
    <t>Electricity (GJ)</t>
  </si>
  <si>
    <t>Emissions Factor (kg CO2-e / GJ)</t>
  </si>
  <si>
    <t>GHG Emissions from electricity (kg.CO2-e p.a.)</t>
  </si>
  <si>
    <t>Please enter the start of the natural gas data period</t>
  </si>
  <si>
    <t>End of natural gas data period</t>
  </si>
  <si>
    <t>Days in Gas data period</t>
  </si>
  <si>
    <t>Annual natural gas consumption (MJ)</t>
  </si>
  <si>
    <t>Natural gas (GJ)</t>
  </si>
  <si>
    <t>Emissions Factor (kg CO2-e / GJ)2</t>
  </si>
  <si>
    <t>GHG Emissions from natural gas(kg.CO2-e p.a.)</t>
  </si>
  <si>
    <t>Please enter the start of the LPG data period</t>
  </si>
  <si>
    <t>End of LPG data period</t>
  </si>
  <si>
    <t>Days in LPG data period</t>
  </si>
  <si>
    <t>Annual Liquefied Petroleum Gas (LPG) consumption (kL)</t>
  </si>
  <si>
    <t>LPG (GJ)</t>
  </si>
  <si>
    <t>Emissions Factor (kg CO2-e / GJ)3</t>
  </si>
  <si>
    <t>GHG Emissions from LPG (kg.CO2-e p.a.)</t>
  </si>
  <si>
    <t>Please enter the start of the diesel data period</t>
  </si>
  <si>
    <t>End of diesel data period</t>
  </si>
  <si>
    <t>Days in diesel data period</t>
  </si>
  <si>
    <t>Annual diesel consumption (kL)</t>
  </si>
  <si>
    <t>Diesel (GJ)</t>
  </si>
  <si>
    <t>Emissions Factor (kg CO2-e / GJ)4</t>
  </si>
  <si>
    <t>GHG Emissions from diesel  (kg.CO2-e p.a.)</t>
  </si>
  <si>
    <t>Benchmark energy Intensity (MJ/m2)</t>
  </si>
  <si>
    <t>Hours of operation (hours / week)</t>
  </si>
  <si>
    <t xml:space="preserve">Normalised Energy Intensity </t>
  </si>
  <si>
    <t>Average baseline GHG emissions intensity (kg CO2-e / GJ)</t>
  </si>
  <si>
    <t>Minimum baseline GHG emissions intensity (kg CO2-e / GJ)</t>
  </si>
  <si>
    <t>Improvement over minimum performer (%)</t>
  </si>
  <si>
    <t>Improvement over average performer (%)</t>
  </si>
  <si>
    <t xml:space="preserve">Total Points Awarded </t>
  </si>
  <si>
    <t>Conditional requirement for 4+ stars - best practice rating achieved</t>
  </si>
  <si>
    <t>New Zealand</t>
  </si>
  <si>
    <t>Scope of Emissions</t>
  </si>
  <si>
    <t>Base building</t>
  </si>
  <si>
    <t>Whole building</t>
  </si>
  <si>
    <t>Star Ratings</t>
  </si>
  <si>
    <r>
      <t>Average Energy Intensity (MJ/m</t>
    </r>
    <r>
      <rPr>
        <b/>
        <vertAlign val="superscript"/>
        <sz val="12"/>
        <color theme="0"/>
        <rFont val="Arial"/>
        <family val="2"/>
      </rPr>
      <t>2</t>
    </r>
    <r>
      <rPr>
        <b/>
        <sz val="12"/>
        <color theme="0"/>
        <rFont val="Arial"/>
        <family val="2"/>
      </rPr>
      <t xml:space="preserve"> p.a.) by Space Use Type</t>
    </r>
  </si>
  <si>
    <t>Look Up</t>
  </si>
  <si>
    <t>State</t>
  </si>
  <si>
    <t>Region</t>
  </si>
  <si>
    <t>Privately Owned Standalone Office Tenancy</t>
  </si>
  <si>
    <t>Privately Owned Standalone Office Base Building</t>
  </si>
  <si>
    <t>Privately Owned Standalone Office Whole Building</t>
  </si>
  <si>
    <t>Government Owned Standalone Office Tenancy</t>
  </si>
  <si>
    <t>Government Owned Standalone Office Whole Building</t>
  </si>
  <si>
    <t>Retail Shopping Centres Whole Building ( sum of base buildings + retail tenancies, other than Supermarkets)</t>
  </si>
  <si>
    <t>Distribution Centre</t>
  </si>
  <si>
    <t>Non-refrigerated Warehouse</t>
  </si>
  <si>
    <t>Standalone Retail Whole Building</t>
  </si>
  <si>
    <t>NZ</t>
  </si>
  <si>
    <t>All</t>
  </si>
  <si>
    <t>Fuel mix (%) by Functional Space Use</t>
  </si>
  <si>
    <t>Electricity</t>
  </si>
  <si>
    <t>Natural Gas</t>
  </si>
  <si>
    <t>LPG</t>
  </si>
  <si>
    <t>Diesel Oil</t>
  </si>
  <si>
    <t>Hours operation (hours per week)</t>
  </si>
  <si>
    <t>Bed Density (m2/bed)</t>
  </si>
  <si>
    <t>Student Density (m2/Full time student)</t>
  </si>
  <si>
    <t>Reference from BEES database</t>
  </si>
  <si>
    <t>Fuel combustion &amp; consumption (New Zealand)</t>
  </si>
  <si>
    <t>Fuel combusted</t>
  </si>
  <si>
    <t>Year</t>
  </si>
  <si>
    <r>
      <t>Emission factor (kg CO</t>
    </r>
    <r>
      <rPr>
        <b/>
        <vertAlign val="subscript"/>
        <sz val="12"/>
        <color theme="8"/>
        <rFont val="Arial"/>
        <family val="2"/>
        <scheme val="minor"/>
      </rPr>
      <t>2</t>
    </r>
    <r>
      <rPr>
        <b/>
        <sz val="12"/>
        <color theme="8"/>
        <rFont val="Arial"/>
        <family val="2"/>
        <scheme val="minor"/>
      </rPr>
      <t>-e/GJ)</t>
    </r>
  </si>
  <si>
    <r>
      <t>Total 
(kg CO</t>
    </r>
    <r>
      <rPr>
        <b/>
        <vertAlign val="subscript"/>
        <sz val="12"/>
        <color theme="8"/>
        <rFont val="Arial"/>
        <family val="2"/>
        <scheme val="minor"/>
      </rPr>
      <t>2</t>
    </r>
    <r>
      <rPr>
        <b/>
        <sz val="12"/>
        <color theme="8"/>
        <rFont val="Arial"/>
        <family val="2"/>
        <scheme val="minor"/>
      </rPr>
      <t>-e/GJ)</t>
    </r>
  </si>
  <si>
    <r>
      <t>CO</t>
    </r>
    <r>
      <rPr>
        <b/>
        <vertAlign val="subscript"/>
        <sz val="12"/>
        <color theme="8"/>
        <rFont val="Arial"/>
        <family val="2"/>
        <scheme val="minor"/>
      </rPr>
      <t>2</t>
    </r>
  </si>
  <si>
    <r>
      <t>CH</t>
    </r>
    <r>
      <rPr>
        <b/>
        <vertAlign val="subscript"/>
        <sz val="12"/>
        <color theme="8"/>
        <rFont val="Arial"/>
        <family val="2"/>
        <scheme val="minor"/>
      </rPr>
      <t>4</t>
    </r>
  </si>
  <si>
    <r>
      <t>N</t>
    </r>
    <r>
      <rPr>
        <b/>
        <vertAlign val="subscript"/>
        <sz val="12"/>
        <color theme="8"/>
        <rFont val="Arial"/>
        <family val="2"/>
        <scheme val="minor"/>
      </rPr>
      <t>2</t>
    </r>
    <r>
      <rPr>
        <b/>
        <sz val="12"/>
        <color theme="8"/>
        <rFont val="Arial"/>
        <family val="2"/>
        <scheme val="minor"/>
      </rPr>
      <t>0</t>
    </r>
  </si>
  <si>
    <t>Bituminous coal</t>
  </si>
  <si>
    <t>Guidance for voluntary greenhouse gas reporting - 2016</t>
  </si>
  <si>
    <t>Sub-bituminous coal</t>
  </si>
  <si>
    <t>Gasoline (other than for use as fuel in an aircraft)</t>
  </si>
  <si>
    <t>Purchased electricity consumption</t>
  </si>
  <si>
    <t>State or territory</t>
  </si>
  <si>
    <r>
      <t>Scope 2 EF 
(kg CO</t>
    </r>
    <r>
      <rPr>
        <b/>
        <vertAlign val="subscript"/>
        <sz val="12"/>
        <color theme="8"/>
        <rFont val="Arial"/>
        <family val="2"/>
        <scheme val="minor"/>
      </rPr>
      <t>2</t>
    </r>
    <r>
      <rPr>
        <b/>
        <sz val="12"/>
        <color theme="8"/>
        <rFont val="Arial"/>
        <family val="2"/>
        <scheme val="minor"/>
      </rPr>
      <t>-e/kWH)</t>
    </r>
  </si>
  <si>
    <r>
      <t>Scope 2 EF 
(kg CO</t>
    </r>
    <r>
      <rPr>
        <b/>
        <vertAlign val="subscript"/>
        <sz val="12"/>
        <color theme="8"/>
        <rFont val="Arial"/>
        <family val="2"/>
        <scheme val="minor"/>
      </rPr>
      <t>2</t>
    </r>
    <r>
      <rPr>
        <b/>
        <sz val="12"/>
        <color theme="8"/>
        <rFont val="Arial"/>
        <family val="2"/>
        <scheme val="minor"/>
      </rPr>
      <t>-e/GJ)</t>
    </r>
  </si>
  <si>
    <r>
      <t>Scope 3 EF 
(kg CO</t>
    </r>
    <r>
      <rPr>
        <b/>
        <vertAlign val="subscript"/>
        <sz val="12"/>
        <color theme="8"/>
        <rFont val="Arial"/>
        <family val="2"/>
        <scheme val="minor"/>
      </rPr>
      <t>2</t>
    </r>
    <r>
      <rPr>
        <b/>
        <sz val="12"/>
        <color theme="8"/>
        <rFont val="Arial"/>
        <family val="2"/>
        <scheme val="minor"/>
      </rPr>
      <t>-e/kWH)</t>
    </r>
  </si>
  <si>
    <r>
      <t>Scope 3 EF 
(kg CO</t>
    </r>
    <r>
      <rPr>
        <b/>
        <vertAlign val="subscript"/>
        <sz val="12"/>
        <color theme="8"/>
        <rFont val="Arial"/>
        <family val="2"/>
        <scheme val="minor"/>
      </rPr>
      <t>2</t>
    </r>
    <r>
      <rPr>
        <b/>
        <sz val="12"/>
        <color theme="8"/>
        <rFont val="Arial"/>
        <family val="2"/>
        <scheme val="minor"/>
      </rPr>
      <t>-e/GJ)</t>
    </r>
  </si>
  <si>
    <t>Guidance for voluntary greenhouse gas reporting - 2024</t>
  </si>
  <si>
    <t>National Carbon Offset Standard for Buildings Summary</t>
  </si>
  <si>
    <t>Building Details - Input</t>
  </si>
  <si>
    <t>Period</t>
  </si>
  <si>
    <t>Performance Period</t>
  </si>
  <si>
    <t>Start date</t>
  </si>
  <si>
    <t>Street Address</t>
  </si>
  <si>
    <t>End date</t>
  </si>
  <si>
    <t>City or Suburb</t>
  </si>
  <si>
    <t>Emission Factors</t>
  </si>
  <si>
    <t>PostCode</t>
  </si>
  <si>
    <t>State / territory</t>
  </si>
  <si>
    <r>
      <t>Gross building area (m</t>
    </r>
    <r>
      <rPr>
        <b/>
        <vertAlign val="superscript"/>
        <sz val="10"/>
        <rFont val="Arial"/>
        <family val="2"/>
        <scheme val="major"/>
      </rPr>
      <t>2</t>
    </r>
    <r>
      <rPr>
        <b/>
        <sz val="10"/>
        <rFont val="Arial"/>
        <family val="2"/>
        <scheme val="major"/>
      </rPr>
      <t>)</t>
    </r>
  </si>
  <si>
    <t>Total Emissions</t>
  </si>
  <si>
    <t>Energy Source</t>
  </si>
  <si>
    <t xml:space="preserve">Scope </t>
  </si>
  <si>
    <t>Greenhouse Gas Emisisons 
(t CO2-e)</t>
  </si>
  <si>
    <t xml:space="preserve">Total greenhouse gas emissions (full fuel cycle ) </t>
  </si>
  <si>
    <t>Scope 1, Scope 2 &amp; Scope 3</t>
  </si>
  <si>
    <t xml:space="preserve">Include details of registry and type of offset unit. Provide enough information to allow readers to identify offsets used to maintain carbon neutral status. Include details on scheme and type of project e.g. Gold Standard VERs from XXX wind power project, Markit registry. 
Note: Include offset retirements that relate to the current reporting period. Identify any offset batches that also contain offsets used for purposes outside the National Carbon Offset Standard. </t>
  </si>
  <si>
    <r>
      <t>Emission Factors (kg CO</t>
    </r>
    <r>
      <rPr>
        <b/>
        <vertAlign val="subscript"/>
        <sz val="11"/>
        <color theme="8"/>
        <rFont val="Arial"/>
        <family val="2"/>
        <scheme val="major"/>
      </rPr>
      <t>2</t>
    </r>
    <r>
      <rPr>
        <b/>
        <sz val="11"/>
        <color theme="8"/>
        <rFont val="Arial"/>
        <family val="2"/>
        <scheme val="major"/>
      </rPr>
      <t>e/unit)</t>
    </r>
  </si>
  <si>
    <r>
      <t>Combined Emission Factor (kg CO</t>
    </r>
    <r>
      <rPr>
        <b/>
        <vertAlign val="subscript"/>
        <sz val="11"/>
        <color theme="8"/>
        <rFont val="Arial"/>
        <family val="2"/>
        <scheme val="major"/>
      </rPr>
      <t>2</t>
    </r>
    <r>
      <rPr>
        <b/>
        <sz val="11"/>
        <color theme="8"/>
        <rFont val="Arial"/>
        <family val="2"/>
        <scheme val="major"/>
      </rPr>
      <t>e/unit)</t>
    </r>
  </si>
  <si>
    <r>
      <t>CO</t>
    </r>
    <r>
      <rPr>
        <b/>
        <vertAlign val="subscript"/>
        <sz val="11"/>
        <color theme="8"/>
        <rFont val="Arial"/>
        <family val="2"/>
        <scheme val="major"/>
      </rPr>
      <t>2</t>
    </r>
  </si>
  <si>
    <r>
      <t>CH</t>
    </r>
    <r>
      <rPr>
        <b/>
        <vertAlign val="subscript"/>
        <sz val="11"/>
        <color theme="8"/>
        <rFont val="Arial"/>
        <family val="2"/>
        <scheme val="major"/>
      </rPr>
      <t>4</t>
    </r>
  </si>
  <si>
    <r>
      <t>N</t>
    </r>
    <r>
      <rPr>
        <b/>
        <vertAlign val="subscript"/>
        <sz val="11"/>
        <color theme="8"/>
        <rFont val="Arial"/>
        <family val="2"/>
        <scheme val="major"/>
      </rPr>
      <t>2</t>
    </r>
    <r>
      <rPr>
        <b/>
        <sz val="11"/>
        <color theme="8"/>
        <rFont val="Arial"/>
        <family val="2"/>
        <scheme val="major"/>
      </rPr>
      <t>0</t>
    </r>
  </si>
  <si>
    <t>NGA Factors - August 2019; Table 5</t>
  </si>
  <si>
    <t xml:space="preserve">WA - South West Interconnected System (SWIS) </t>
  </si>
  <si>
    <t>WA - North Western Interconnected System (NWIS)</t>
  </si>
  <si>
    <t>North Western Interconnected System (NWIS) in WA</t>
  </si>
  <si>
    <t>NT - Darwin Katherine Interconnected System (DKIS)</t>
  </si>
  <si>
    <t>Darwin Katherine Interconnected System (DKIS) in NT</t>
  </si>
  <si>
    <t>NGER Determination 2018; Schedule 1 - Part 6</t>
  </si>
  <si>
    <t>19A.3.1 NABERS ENERGY DETAILED PATHWAY</t>
  </si>
  <si>
    <t>Portfolio Performance Period</t>
  </si>
  <si>
    <t>FOR</t>
  </si>
  <si>
    <t>OFFICE AND RETAIL PORTFOLIOS</t>
  </si>
  <si>
    <t>* Note that this worksheet may not be used for buildings targeting Climate Active Carbon Neutral for Buildings certification via Green Star Performance v1.2 as the Carbon Neutral Summary sheet needs to be completed for each building</t>
  </si>
  <si>
    <t>Establish benchmark using NABERS Reverse Calculator</t>
  </si>
  <si>
    <t>Renewable Energy Indicator</t>
  </si>
  <si>
    <t>NABERS Energy Rating Details</t>
  </si>
  <si>
    <t>Results</t>
  </si>
  <si>
    <t>Please enter the building's address or name.</t>
  </si>
  <si>
    <t>Please select the NABERS rating type.</t>
  </si>
  <si>
    <t>Hours of occupancy per week
(hrs per week)</t>
  </si>
  <si>
    <t>Benchmarking Emissions Intensity at 1 Stars NABERS Energy 
(kgCO2-e/m2.year)</t>
  </si>
  <si>
    <t>For office - Rated area (m2)
For retail - 
Total shopping centre area (m2)</t>
  </si>
  <si>
    <t>Please enter the start of the rating period (dd/mm/yyyy)</t>
  </si>
  <si>
    <t>End of NABERS rating period</t>
  </si>
  <si>
    <t>What is the date of the NABERS Certificate expiry? (dd/mm/yyyy)</t>
  </si>
  <si>
    <t>Onsite Renewable Electricity (kWh)</t>
  </si>
  <si>
    <t>RET and State/Territory targets (kWh)</t>
  </si>
  <si>
    <t>GreenPower (kWh)</t>
  </si>
  <si>
    <t>Other Voluntary Purchases (kWh)</t>
  </si>
  <si>
    <t>Total Renewable Electricity (kWh)</t>
  </si>
  <si>
    <t>Non-Renewable electricity (kWh)</t>
  </si>
  <si>
    <t>Gas and LPG (MJ)</t>
  </si>
  <si>
    <t>Diesel (L)</t>
  </si>
  <si>
    <t>NABERS Energy Rating 
(Stars)</t>
  </si>
  <si>
    <t>Total greenhouse gas emissions (scope 1 &amp; 2)
(kg CO2-e p.a.)</t>
  </si>
  <si>
    <t>Total greenhouse gas emissions (full fuel cycle – scope 1, 2 &amp; 3) 
(kg CO2-e p.a.)</t>
  </si>
  <si>
    <t>Greenhouse gas intensity (scope 1 &amp; 2) 
(kg CO2-e/m² p.a.)</t>
  </si>
  <si>
    <t>Greenhouse gas intensity (full fuel cycle – scope 1, 2 &amp; 3) 
(kg CO2-e/m² p.a.)</t>
  </si>
  <si>
    <t>Column1</t>
  </si>
  <si>
    <t>Requirement For Best Practice Rating Achieved</t>
  </si>
  <si>
    <t>Improvement (%)</t>
  </si>
  <si>
    <t>GS-7880</t>
  </si>
  <si>
    <t>Sydney Olmypc</t>
  </si>
  <si>
    <t>Whole Building</t>
  </si>
  <si>
    <t>n55937</t>
  </si>
  <si>
    <t>SUMMARY TABLES:</t>
  </si>
  <si>
    <t>Table 1</t>
  </si>
  <si>
    <t>Table 2</t>
  </si>
  <si>
    <t>Table 3</t>
  </si>
  <si>
    <t>Metro</t>
  </si>
  <si>
    <t>Base Building</t>
  </si>
  <si>
    <t>Non-Metro</t>
  </si>
  <si>
    <t>NABERS Energy Tenancy Rating</t>
  </si>
  <si>
    <t>Tenant Collaboration</t>
  </si>
  <si>
    <t>Original Unit</t>
  </si>
  <si>
    <t>Desired Unit</t>
  </si>
  <si>
    <t>Conversion Factor</t>
  </si>
  <si>
    <t>Wh</t>
  </si>
  <si>
    <t>MWh</t>
  </si>
  <si>
    <t>GWh</t>
  </si>
  <si>
    <t>J</t>
  </si>
  <si>
    <t>kJ</t>
  </si>
  <si>
    <t>TJ</t>
  </si>
  <si>
    <t>Coal</t>
  </si>
  <si>
    <t>t</t>
  </si>
  <si>
    <t>kg</t>
  </si>
  <si>
    <t>kL</t>
  </si>
  <si>
    <t>Diesel oil</t>
  </si>
  <si>
    <t>Table 4a</t>
  </si>
  <si>
    <r>
      <t>Electricity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-e/kWh)</t>
    </r>
  </si>
  <si>
    <t>Source: NGA Factors workbook - July 2012</t>
  </si>
  <si>
    <t>NZ Source: Ministry for the Environment - Guidance for voluntary greenhouse gas reporting - 2016: Data and methods for the 2014 calendar year</t>
  </si>
  <si>
    <t>http://www.climatechange.gov.au/en/publications/greenhouse-acctg/national-greenhouse-factors.aspx</t>
  </si>
  <si>
    <t>http://www.mfe.govt.nz/publications/climate-change/guidance-voluntary-greenhouse-gas-reporting-2016-data-and-methods-2014</t>
  </si>
  <si>
    <t>Scope 3</t>
  </si>
  <si>
    <t>Total</t>
  </si>
  <si>
    <t>Table 5a</t>
  </si>
  <si>
    <r>
      <t>Natural gas - emi</t>
    </r>
    <r>
      <rPr>
        <b/>
        <sz val="10"/>
        <color theme="1"/>
        <rFont val="Arial"/>
        <family val="2"/>
        <scheme val="major"/>
      </rPr>
      <t>ssion factor (kgCO</t>
    </r>
    <r>
      <rPr>
        <b/>
        <vertAlign val="subscript"/>
        <sz val="10"/>
        <color theme="1"/>
        <rFont val="Arial"/>
        <family val="2"/>
        <scheme val="major"/>
      </rPr>
      <t>2</t>
    </r>
    <r>
      <rPr>
        <b/>
        <sz val="10"/>
        <color theme="1"/>
        <rFont val="Arial"/>
        <family val="2"/>
        <scheme val="major"/>
      </rPr>
      <t>-e/GJ)</t>
    </r>
  </si>
  <si>
    <t>Scope 1</t>
  </si>
  <si>
    <t>Scope 1 Total</t>
  </si>
  <si>
    <t>Metro Scope 3 Total</t>
  </si>
  <si>
    <t>Non-Metro Scope 3 Total</t>
  </si>
  <si>
    <r>
      <t>CO</t>
    </r>
    <r>
      <rPr>
        <b/>
        <vertAlign val="subscript"/>
        <sz val="11"/>
        <color theme="1"/>
        <rFont val="Tahoma"/>
        <family val="2"/>
      </rPr>
      <t>2</t>
    </r>
  </si>
  <si>
    <r>
      <t>CH</t>
    </r>
    <r>
      <rPr>
        <b/>
        <vertAlign val="subscript"/>
        <sz val="11"/>
        <color theme="1"/>
        <rFont val="Tahoma"/>
        <family val="2"/>
      </rPr>
      <t>4</t>
    </r>
  </si>
  <si>
    <r>
      <t>N</t>
    </r>
    <r>
      <rPr>
        <b/>
        <vertAlign val="subscript"/>
        <sz val="10"/>
        <color theme="1"/>
        <rFont val="Tahoma"/>
        <family val="2"/>
      </rPr>
      <t>2</t>
    </r>
    <r>
      <rPr>
        <b/>
        <sz val="10"/>
        <color theme="1"/>
        <rFont val="Calibri"/>
        <family val="2"/>
      </rPr>
      <t>O</t>
    </r>
  </si>
  <si>
    <t>Table 6a</t>
  </si>
  <si>
    <r>
      <t>Diesel - emission factor kg CO</t>
    </r>
    <r>
      <rPr>
        <b/>
        <vertAlign val="subscript"/>
        <sz val="10"/>
        <color theme="1"/>
        <rFont val="Arial"/>
        <family val="2"/>
        <scheme val="minor"/>
      </rPr>
      <t>2</t>
    </r>
    <r>
      <rPr>
        <b/>
        <sz val="10"/>
        <color theme="1"/>
        <rFont val="Arial"/>
        <family val="2"/>
        <scheme val="minor"/>
      </rPr>
      <t>-e/GJ</t>
    </r>
  </si>
  <si>
    <t>Scope 3 Total</t>
  </si>
  <si>
    <t>Full Fuel Cycle Total</t>
  </si>
  <si>
    <r>
      <t>LPG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-e/GJ)</t>
    </r>
  </si>
  <si>
    <r>
      <t>Coal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-e/t)</t>
    </r>
  </si>
  <si>
    <t>Table 7</t>
  </si>
  <si>
    <t>Hotels</t>
  </si>
  <si>
    <t>Energy Star</t>
  </si>
  <si>
    <t>Retail Stores</t>
  </si>
  <si>
    <t>Courthouses</t>
  </si>
  <si>
    <t>Houses of Worship</t>
  </si>
  <si>
    <t>Senior Care Facility</t>
  </si>
  <si>
    <t>Data Centers</t>
  </si>
  <si>
    <t>K-12 Schools</t>
  </si>
  <si>
    <t>Supermarkets</t>
  </si>
  <si>
    <t>Dormitories</t>
  </si>
  <si>
    <t>Medical Offices</t>
  </si>
  <si>
    <t>Warehouses</t>
  </si>
  <si>
    <t>Hospitals</t>
  </si>
  <si>
    <t>Offices</t>
  </si>
  <si>
    <t>Wastewater Treatment Plants</t>
  </si>
  <si>
    <t>-----</t>
  </si>
  <si>
    <t>DCCEE Commercial Buildings Source Spreadsheet</t>
  </si>
  <si>
    <t>Food Stores</t>
  </si>
  <si>
    <t>Clothing/Fabric Stores</t>
  </si>
  <si>
    <t>Department Stores</t>
  </si>
  <si>
    <t>Household Appl &amp; Hardware Stores</t>
  </si>
  <si>
    <t>Accommodation</t>
  </si>
  <si>
    <t>Communications</t>
  </si>
  <si>
    <t>Schools</t>
  </si>
  <si>
    <t>Fast Food Restaurants</t>
  </si>
  <si>
    <t>Clubs and Meeting Places</t>
  </si>
  <si>
    <t>Retail / Wholesale - nec</t>
  </si>
  <si>
    <t>Comm Serv &amp; Pub Adm - nec</t>
  </si>
  <si>
    <t>Recreation - Not Elsewhere</t>
  </si>
  <si>
    <t xml:space="preserve">Education </t>
  </si>
  <si>
    <t>National Renewable Energy Laboratory</t>
  </si>
  <si>
    <t xml:space="preserve">Food Sales </t>
  </si>
  <si>
    <t>Food Service</t>
  </si>
  <si>
    <t xml:space="preserve">Health Care </t>
  </si>
  <si>
    <t xml:space="preserve">Lodging </t>
  </si>
  <si>
    <t xml:space="preserve">Mercantile </t>
  </si>
  <si>
    <t xml:space="preserve">Office </t>
  </si>
  <si>
    <t>Public Assembly</t>
  </si>
  <si>
    <t>Public Order and Safety</t>
  </si>
  <si>
    <t>Religious Worship</t>
  </si>
  <si>
    <t xml:space="preserve">Other Service </t>
  </si>
  <si>
    <t>Warehouse and Storage</t>
  </si>
  <si>
    <t>Parking</t>
  </si>
  <si>
    <t>Other</t>
  </si>
  <si>
    <t>Vacant</t>
  </si>
  <si>
    <t>Division A - Agriculture, Forestry and Fishing</t>
  </si>
  <si>
    <t>Division B - Mining</t>
  </si>
  <si>
    <t>Division C - Manufacturing</t>
  </si>
  <si>
    <t>Division D - Electricity, Gas and Water Supply</t>
  </si>
  <si>
    <t>Division E - Construction</t>
  </si>
  <si>
    <t>Division F - Wholesale Trade</t>
  </si>
  <si>
    <t>Division G - Retail Trade</t>
  </si>
  <si>
    <t>Division H - Accommodation, Cafes and Restaurants</t>
  </si>
  <si>
    <t>Division I - Transport and Storage</t>
  </si>
  <si>
    <t>Division J - Communication Services</t>
  </si>
  <si>
    <t>Division K - Finance and Insurance</t>
  </si>
  <si>
    <t>Division L - Property and Business Services</t>
  </si>
  <si>
    <t>Division M - Government Administration and Defence</t>
  </si>
  <si>
    <t>Division N - Education</t>
  </si>
  <si>
    <t>Division O - Health and Community Services</t>
  </si>
  <si>
    <t>Division P - Cultural and Recreational Services</t>
  </si>
  <si>
    <t>Division Q - Personal and Other Services</t>
  </si>
  <si>
    <t>Mixed Use</t>
  </si>
  <si>
    <t>Unknown</t>
  </si>
  <si>
    <t>Form Data</t>
  </si>
  <si>
    <t>[Select TRUE where a relationship between two operating variables exists]</t>
  </si>
  <si>
    <t>[Answer Yes or No]</t>
  </si>
  <si>
    <t>YES</t>
  </si>
  <si>
    <t>NO</t>
  </si>
  <si>
    <t>Greenhouse Gas Emissions Credit - Points Tables</t>
  </si>
  <si>
    <t>All Compliance Pathways in accordance with Table 15.0.3</t>
  </si>
  <si>
    <t>Whole of building emissions</t>
  </si>
  <si>
    <t>Base building emissions only</t>
  </si>
  <si>
    <t>Percentage improvement</t>
  </si>
  <si>
    <t>Legend:</t>
  </si>
  <si>
    <t>minimum performer</t>
  </si>
  <si>
    <t>average performer</t>
  </si>
  <si>
    <t>Zero net operating emissions</t>
  </si>
  <si>
    <t>Tenant Engagement in accordance with 15.0.4</t>
  </si>
  <si>
    <t>Percentage of tenanted floor area</t>
  </si>
  <si>
    <t>Compliance pathway in accordance with 15A NABERS Energy</t>
  </si>
  <si>
    <t>Whole of building NABERS Energy rating</t>
  </si>
  <si>
    <t>Base building NABERS rating</t>
  </si>
  <si>
    <t>NABERS Energy Certificate Star Rating</t>
  </si>
  <si>
    <t>NABERS Energy Base Building</t>
  </si>
  <si>
    <t>NABERS Energy Whole Building</t>
  </si>
  <si>
    <t>0 operating emissions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</si>
</sst>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0.0"/>
    <numFmt numFmtId="167" formatCode="[$-C09]dd\-mmmm\-yyyy;@"/>
    <numFmt numFmtId="168" formatCode="0.0%"/>
    <numFmt numFmtId="169" formatCode="0.00_)"/>
    <numFmt numFmtId="170" formatCode="[$-C09]dd\-mmm\-yy;@"/>
    <numFmt numFmtId="171" formatCode="#,##0.0000"/>
    <numFmt numFmtId="172" formatCode="dd/mm/yyyy"/>
    <numFmt numFmtId="173" formatCode="d/mm/yyyy;@"/>
    <numFmt numFmtId="174" formatCode="0.0000"/>
    <numFmt numFmtId="175" formatCode="#,##0.0"/>
  </numFmts>
  <fonts count="142">
    <font>
      <sz val="10"/>
      <color theme="1"/>
      <name val="Arial"/>
      <family val="2"/>
      <scheme val="minor"/>
    </font>
    <font>
      <sz val="10"/>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10"/>
      <color theme="1"/>
      <name val="Arial"/>
      <family val="2"/>
      <scheme val="minor"/>
    </font>
    <font>
      <sz val="11"/>
      <color indexed="8"/>
      <name val="Calibri"/>
      <family val="2"/>
    </font>
    <font>
      <sz val="10"/>
      <color indexed="8"/>
      <name val="Arial"/>
      <family val="2"/>
    </font>
    <font>
      <b/>
      <sz val="10"/>
      <name val="Arial"/>
      <family val="2"/>
    </font>
    <font>
      <b/>
      <sz val="10"/>
      <color theme="1"/>
      <name val="Arial"/>
      <family val="2"/>
      <scheme val="minor"/>
    </font>
    <font>
      <i/>
      <sz val="10"/>
      <color theme="1"/>
      <name val="Arial"/>
      <family val="2"/>
      <scheme val="minor"/>
    </font>
    <font>
      <b/>
      <sz val="8"/>
      <name val="Arial"/>
      <family val="2"/>
    </font>
    <font>
      <sz val="10"/>
      <color rgb="FF0070C0"/>
      <name val="Arial"/>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8"/>
      <color indexed="8"/>
      <name val="Arial"/>
      <family val="2"/>
    </font>
    <font>
      <sz val="11"/>
      <color indexed="60"/>
      <name val="Calibri"/>
      <family val="2"/>
    </font>
    <font>
      <sz val="10"/>
      <name val="Trebuchet MS"/>
      <family val="2"/>
    </font>
    <font>
      <sz val="11"/>
      <color theme="1"/>
      <name val="Arial"/>
      <family val="2"/>
    </font>
    <font>
      <b/>
      <sz val="11"/>
      <color indexed="63"/>
      <name val="Calibri"/>
      <family val="2"/>
    </font>
    <font>
      <sz val="11"/>
      <color indexed="23"/>
      <name val="Arial"/>
      <family val="2"/>
    </font>
    <font>
      <sz val="10"/>
      <name val="Geneva"/>
    </font>
    <font>
      <b/>
      <sz val="18"/>
      <color indexed="56"/>
      <name val="Cambria"/>
      <family val="2"/>
    </font>
    <font>
      <b/>
      <sz val="11"/>
      <color indexed="8"/>
      <name val="Calibri"/>
      <family val="2"/>
    </font>
    <font>
      <sz val="11"/>
      <color indexed="10"/>
      <name val="Calibri"/>
      <family val="2"/>
    </font>
    <font>
      <b/>
      <sz val="11"/>
      <color theme="1"/>
      <name val="Arial"/>
      <family val="2"/>
      <scheme val="minor"/>
    </font>
    <font>
      <sz val="10"/>
      <name val="Arial"/>
      <family val="2"/>
      <scheme val="minor"/>
    </font>
    <font>
      <sz val="12"/>
      <color theme="1"/>
      <name val="Arial"/>
      <family val="2"/>
      <scheme val="minor"/>
    </font>
    <font>
      <u/>
      <sz val="10"/>
      <color theme="10"/>
      <name val="Arial"/>
      <family val="2"/>
    </font>
    <font>
      <i/>
      <u/>
      <sz val="10"/>
      <color theme="10"/>
      <name val="Arial"/>
      <family val="2"/>
    </font>
    <font>
      <b/>
      <sz val="10"/>
      <name val="Arial"/>
      <family val="2"/>
      <scheme val="minor"/>
    </font>
    <font>
      <b/>
      <sz val="10"/>
      <color theme="1"/>
      <name val="Arial"/>
      <family val="2"/>
      <scheme val="major"/>
    </font>
    <font>
      <b/>
      <vertAlign val="subscript"/>
      <sz val="10"/>
      <color theme="1"/>
      <name val="Arial"/>
      <family val="2"/>
      <scheme val="major"/>
    </font>
    <font>
      <b/>
      <vertAlign val="subscript"/>
      <sz val="10"/>
      <color theme="1"/>
      <name val="Arial"/>
      <family val="2"/>
      <scheme val="minor"/>
    </font>
    <font>
      <b/>
      <u/>
      <sz val="10"/>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i/>
      <sz val="10"/>
      <name val="Arial"/>
      <family val="2"/>
      <scheme val="minor"/>
    </font>
    <font>
      <sz val="12"/>
      <name val="Arial MT"/>
    </font>
    <font>
      <b/>
      <i/>
      <sz val="16"/>
      <name val="Helv"/>
    </font>
    <font>
      <b/>
      <sz val="12"/>
      <color theme="0"/>
      <name val="Arial"/>
      <family val="2"/>
      <scheme val="minor"/>
    </font>
    <font>
      <b/>
      <sz val="10"/>
      <color theme="0"/>
      <name val="Arial"/>
      <family val="2"/>
      <scheme val="minor"/>
    </font>
    <font>
      <sz val="8"/>
      <color indexed="81"/>
      <name val="Tahoma"/>
      <family val="2"/>
    </font>
    <font>
      <b/>
      <sz val="10"/>
      <color theme="1"/>
      <name val="Arial"/>
      <family val="2"/>
    </font>
    <font>
      <sz val="10"/>
      <name val="Verdana"/>
      <family val="2"/>
    </font>
    <font>
      <b/>
      <sz val="14"/>
      <color theme="0"/>
      <name val="Arial"/>
      <family val="2"/>
    </font>
    <font>
      <b/>
      <sz val="10"/>
      <color theme="0"/>
      <name val="Arial"/>
      <family val="2"/>
    </font>
    <font>
      <sz val="10"/>
      <color theme="0"/>
      <name val="Arial"/>
      <family val="2"/>
      <scheme val="minor"/>
    </font>
    <font>
      <b/>
      <i/>
      <sz val="10"/>
      <color theme="1"/>
      <name val="Arial"/>
      <family val="2"/>
      <scheme val="minor"/>
    </font>
    <font>
      <b/>
      <i/>
      <sz val="10"/>
      <color theme="0"/>
      <name val="Arial"/>
      <family val="2"/>
      <scheme val="minor"/>
    </font>
    <font>
      <b/>
      <vertAlign val="subscript"/>
      <sz val="11"/>
      <color theme="1"/>
      <name val="Tahoma"/>
      <family val="2"/>
    </font>
    <font>
      <b/>
      <vertAlign val="subscript"/>
      <sz val="10"/>
      <color theme="1"/>
      <name val="Tahoma"/>
      <family val="2"/>
    </font>
    <font>
      <b/>
      <sz val="10"/>
      <color theme="1"/>
      <name val="Calibri"/>
      <family val="2"/>
    </font>
    <font>
      <b/>
      <sz val="14"/>
      <color theme="0"/>
      <name val="Arial"/>
      <family val="2"/>
      <scheme val="minor"/>
    </font>
    <font>
      <sz val="14"/>
      <name val="Arial"/>
      <family val="2"/>
      <scheme val="minor"/>
    </font>
    <font>
      <sz val="14"/>
      <name val="Arial"/>
      <family val="2"/>
    </font>
    <font>
      <b/>
      <vertAlign val="superscript"/>
      <sz val="10"/>
      <color theme="1"/>
      <name val="Arial"/>
      <family val="2"/>
    </font>
    <font>
      <sz val="10"/>
      <color theme="2"/>
      <name val="Arial"/>
      <family val="2"/>
    </font>
    <font>
      <sz val="10"/>
      <color rgb="FF676767"/>
      <name val="Arial"/>
      <family val="2"/>
      <scheme val="minor"/>
    </font>
    <font>
      <u/>
      <sz val="10"/>
      <color theme="10"/>
      <name val="Arial"/>
      <family val="2"/>
      <scheme val="minor"/>
    </font>
    <font>
      <b/>
      <sz val="16"/>
      <color theme="1"/>
      <name val="Arial"/>
      <family val="2"/>
      <scheme val="minor"/>
    </font>
    <font>
      <b/>
      <sz val="10"/>
      <color indexed="18"/>
      <name val="Arial"/>
      <family val="2"/>
      <scheme val="minor"/>
    </font>
    <font>
      <b/>
      <sz val="10"/>
      <color theme="8"/>
      <name val="Arial"/>
      <family val="2"/>
      <scheme val="minor"/>
    </font>
    <font>
      <b/>
      <sz val="10"/>
      <color theme="9" tint="-0.499984740745262"/>
      <name val="Arial"/>
      <family val="2"/>
      <scheme val="minor"/>
    </font>
    <font>
      <sz val="10"/>
      <color rgb="FFFF0000"/>
      <name val="Arial"/>
      <family val="2"/>
      <scheme val="minor"/>
    </font>
    <font>
      <sz val="9"/>
      <color theme="1"/>
      <name val="Arial"/>
      <family val="2"/>
      <scheme val="minor"/>
    </font>
    <font>
      <b/>
      <sz val="8"/>
      <color theme="0"/>
      <name val="Arial"/>
      <family val="2"/>
      <scheme val="minor"/>
    </font>
    <font>
      <sz val="9"/>
      <color indexed="81"/>
      <name val="Tahoma"/>
      <family val="2"/>
    </font>
    <font>
      <b/>
      <sz val="9"/>
      <color indexed="81"/>
      <name val="Tahoma"/>
      <family val="2"/>
    </font>
    <font>
      <b/>
      <u/>
      <sz val="9"/>
      <color theme="0"/>
      <name val="Arial"/>
      <family val="2"/>
      <scheme val="minor"/>
    </font>
    <font>
      <vertAlign val="subscript"/>
      <sz val="10"/>
      <color theme="1"/>
      <name val="Arial"/>
      <family val="2"/>
    </font>
    <font>
      <vertAlign val="superscript"/>
      <sz val="10"/>
      <color theme="1"/>
      <name val="Arial"/>
      <family val="2"/>
    </font>
    <font>
      <sz val="8"/>
      <name val="Arial"/>
      <family val="2"/>
      <scheme val="minor"/>
    </font>
    <font>
      <b/>
      <sz val="10"/>
      <color rgb="FF676767"/>
      <name val="Arial"/>
      <family val="2"/>
      <scheme val="minor"/>
    </font>
    <font>
      <sz val="10"/>
      <color theme="1"/>
      <name val="Arial"/>
      <family val="2"/>
      <scheme val="major"/>
    </font>
    <font>
      <sz val="10"/>
      <color rgb="FF0070C0"/>
      <name val="Arial"/>
      <family val="2"/>
      <scheme val="major"/>
    </font>
    <font>
      <b/>
      <sz val="14"/>
      <color theme="0"/>
      <name val="Arial"/>
      <family val="2"/>
      <scheme val="major"/>
    </font>
    <font>
      <sz val="14"/>
      <name val="Arial"/>
      <family val="2"/>
      <scheme val="major"/>
    </font>
    <font>
      <b/>
      <sz val="12"/>
      <color theme="0"/>
      <name val="Arial"/>
      <family val="2"/>
      <scheme val="major"/>
    </font>
    <font>
      <sz val="10"/>
      <name val="Arial"/>
      <family val="2"/>
      <scheme val="major"/>
    </font>
    <font>
      <b/>
      <vertAlign val="superscript"/>
      <sz val="10"/>
      <name val="Arial"/>
      <family val="2"/>
      <scheme val="major"/>
    </font>
    <font>
      <b/>
      <sz val="10"/>
      <name val="Arial"/>
      <family val="2"/>
      <scheme val="major"/>
    </font>
    <font>
      <b/>
      <sz val="10"/>
      <color indexed="8"/>
      <name val="Arial"/>
      <family val="2"/>
      <scheme val="major"/>
    </font>
    <font>
      <b/>
      <sz val="11"/>
      <color theme="1"/>
      <name val="Arial"/>
      <family val="2"/>
      <scheme val="major"/>
    </font>
    <font>
      <b/>
      <sz val="11"/>
      <color rgb="FFFFFFFF"/>
      <name val="Arial"/>
      <family val="2"/>
      <scheme val="major"/>
    </font>
    <font>
      <b/>
      <sz val="10"/>
      <color theme="8"/>
      <name val="Arial"/>
      <family val="2"/>
      <scheme val="major"/>
    </font>
    <font>
      <i/>
      <sz val="11"/>
      <color rgb="FF4BACC6"/>
      <name val="Arial"/>
      <family val="2"/>
      <scheme val="major"/>
    </font>
    <font>
      <sz val="11"/>
      <name val="Arial"/>
      <family val="2"/>
      <scheme val="major"/>
    </font>
    <font>
      <b/>
      <sz val="11"/>
      <color rgb="FF4BACC6"/>
      <name val="Arial"/>
      <family val="2"/>
      <scheme val="major"/>
    </font>
    <font>
      <b/>
      <sz val="11"/>
      <color theme="0"/>
      <name val="Arial"/>
      <family val="2"/>
      <scheme val="major"/>
    </font>
    <font>
      <b/>
      <vertAlign val="subscript"/>
      <sz val="11"/>
      <color theme="8"/>
      <name val="Arial"/>
      <family val="2"/>
      <scheme val="major"/>
    </font>
    <font>
      <b/>
      <sz val="11"/>
      <color theme="8"/>
      <name val="Arial"/>
      <family val="2"/>
      <scheme val="major"/>
    </font>
    <font>
      <sz val="11"/>
      <color theme="1"/>
      <name val="Arial"/>
      <family val="2"/>
      <scheme val="major"/>
    </font>
    <font>
      <b/>
      <u/>
      <sz val="12"/>
      <color theme="0"/>
      <name val="Arial"/>
      <family val="2"/>
      <scheme val="minor"/>
    </font>
    <font>
      <sz val="8"/>
      <color theme="0"/>
      <name val="Arial"/>
      <family val="2"/>
      <scheme val="minor"/>
    </font>
    <font>
      <b/>
      <sz val="10"/>
      <color theme="6"/>
      <name val="Arial"/>
      <family val="2"/>
      <scheme val="minor"/>
    </font>
    <font>
      <b/>
      <sz val="10"/>
      <color theme="9" tint="-0.249977111117893"/>
      <name val="Arial"/>
      <family val="2"/>
      <scheme val="minor"/>
    </font>
    <font>
      <b/>
      <i/>
      <sz val="10"/>
      <color theme="8" tint="-0.249977111117893"/>
      <name val="Arial"/>
      <family val="2"/>
      <scheme val="minor"/>
    </font>
    <font>
      <sz val="7"/>
      <color theme="0"/>
      <name val="Arial"/>
      <family val="2"/>
      <scheme val="minor"/>
    </font>
    <font>
      <b/>
      <sz val="10"/>
      <color theme="4" tint="-0.499984740745262"/>
      <name val="Arial"/>
      <family val="2"/>
      <scheme val="minor"/>
    </font>
    <font>
      <b/>
      <sz val="10"/>
      <color theme="4"/>
      <name val="Arial"/>
      <family val="2"/>
      <scheme val="minor"/>
    </font>
    <font>
      <sz val="10"/>
      <color theme="8"/>
      <name val="Arial"/>
      <family val="2"/>
      <scheme val="minor"/>
    </font>
    <font>
      <vertAlign val="superscript"/>
      <sz val="11"/>
      <color theme="1"/>
      <name val="Arial"/>
      <family val="2"/>
    </font>
    <font>
      <b/>
      <vertAlign val="superscript"/>
      <sz val="12"/>
      <color theme="0"/>
      <name val="Arial"/>
      <family val="2"/>
    </font>
    <font>
      <b/>
      <sz val="12"/>
      <color theme="0"/>
      <name val="Arial"/>
      <family val="2"/>
    </font>
    <font>
      <b/>
      <sz val="12"/>
      <color theme="8"/>
      <name val="Arial"/>
      <family val="2"/>
      <scheme val="minor"/>
    </font>
    <font>
      <b/>
      <vertAlign val="subscript"/>
      <sz val="12"/>
      <color theme="8"/>
      <name val="Arial"/>
      <family val="2"/>
      <scheme val="minor"/>
    </font>
    <font>
      <sz val="12"/>
      <color theme="8"/>
      <name val="Arial"/>
      <family val="2"/>
      <scheme val="minor"/>
    </font>
    <font>
      <i/>
      <sz val="12"/>
      <color theme="8"/>
      <name val="Arial"/>
      <family val="2"/>
      <scheme val="minor"/>
    </font>
  </fonts>
  <fills count="81">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5050"/>
        <bgColor indexed="64"/>
      </patternFill>
    </fill>
    <fill>
      <patternFill patternType="solid">
        <fgColor rgb="FF92D050"/>
        <bgColor indexed="64"/>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rgb="FF00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5"/>
        <bgColor indexed="64"/>
      </patternFill>
    </fill>
    <fill>
      <patternFill patternType="solid">
        <fgColor theme="4"/>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0" tint="-0.14996795556505021"/>
        <bgColor indexed="64"/>
      </patternFill>
    </fill>
    <fill>
      <patternFill patternType="solid">
        <fgColor theme="9" tint="0.59996337778862885"/>
        <bgColor indexed="64"/>
      </patternFill>
    </fill>
  </fills>
  <borders count="88">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top/>
      <bottom/>
      <diagonal/>
    </border>
    <border>
      <left style="hair">
        <color auto="1"/>
      </left>
      <right style="hair">
        <color auto="1"/>
      </right>
      <top style="hair">
        <color auto="1"/>
      </top>
      <bottom style="hair">
        <color auto="1"/>
      </bottom>
      <diagonal/>
    </border>
    <border>
      <left/>
      <right style="hair">
        <color indexed="64"/>
      </right>
      <top style="thin">
        <color indexed="64"/>
      </top>
      <bottom style="thin">
        <color indexed="64"/>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indexed="64"/>
      </left>
      <right/>
      <top/>
      <bottom/>
      <diagonal/>
    </border>
    <border>
      <left/>
      <right/>
      <top style="hair">
        <color auto="1"/>
      </top>
      <bottom style="thin">
        <color indexed="64"/>
      </bottom>
      <diagonal/>
    </border>
    <border>
      <left/>
      <right/>
      <top/>
      <bottom style="thin">
        <color indexed="64"/>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hair">
        <color auto="1"/>
      </right>
      <top style="thin">
        <color indexed="64"/>
      </top>
      <bottom style="hair">
        <color auto="1"/>
      </bottom>
      <diagonal/>
    </border>
    <border>
      <left/>
      <right style="hair">
        <color auto="1"/>
      </right>
      <top/>
      <bottom style="hair">
        <color auto="1"/>
      </bottom>
      <diagonal/>
    </border>
    <border>
      <left/>
      <right style="hair">
        <color auto="1"/>
      </right>
      <top style="hair">
        <color auto="1"/>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theme="0"/>
      </bottom>
      <diagonal/>
    </border>
    <border>
      <left/>
      <right style="thin">
        <color theme="2"/>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2"/>
      </left>
      <right/>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0"/>
      </left>
      <right/>
      <top style="thin">
        <color theme="0"/>
      </top>
      <bottom/>
      <diagonal/>
    </border>
  </borders>
  <cellStyleXfs count="2239">
    <xf numFmtId="0" fontId="0" fillId="0" borderId="0"/>
    <xf numFmtId="165" fontId="15" fillId="0" borderId="0" applyFont="0" applyFill="0" applyBorder="0" applyAlignment="0" applyProtection="0"/>
    <xf numFmtId="43" fontId="15" fillId="0" borderId="0" applyFont="0" applyFill="0" applyBorder="0" applyAlignment="0" applyProtection="0"/>
    <xf numFmtId="164" fontId="15" fillId="0" borderId="0" applyFont="0" applyFill="0" applyBorder="0" applyAlignment="0" applyProtection="0"/>
    <xf numFmtId="0" fontId="16" fillId="0" borderId="0"/>
    <xf numFmtId="0" fontId="15" fillId="0" borderId="0"/>
    <xf numFmtId="0" fontId="14" fillId="0" borderId="0"/>
    <xf numFmtId="0" fontId="18" fillId="0" borderId="0"/>
    <xf numFmtId="0" fontId="15" fillId="0" borderId="0"/>
    <xf numFmtId="0" fontId="15" fillId="0" borderId="0"/>
    <xf numFmtId="0" fontId="16" fillId="0" borderId="0"/>
    <xf numFmtId="0" fontId="15" fillId="0" borderId="0"/>
    <xf numFmtId="0" fontId="14" fillId="0" borderId="0"/>
    <xf numFmtId="0" fontId="14" fillId="0" borderId="0"/>
    <xf numFmtId="0" fontId="14" fillId="0" borderId="0"/>
    <xf numFmtId="0" fontId="14" fillId="0" borderId="0"/>
    <xf numFmtId="9" fontId="15" fillId="0" borderId="0" applyFont="0" applyFill="0" applyBorder="0" applyAlignment="0" applyProtection="0"/>
    <xf numFmtId="0" fontId="15" fillId="0" borderId="0"/>
    <xf numFmtId="167" fontId="15" fillId="0" borderId="0"/>
    <xf numFmtId="167" fontId="17" fillId="5" borderId="0" applyNumberFormat="0" applyBorder="0" applyAlignment="0" applyProtection="0"/>
    <xf numFmtId="167" fontId="17" fillId="6" borderId="0" applyNumberFormat="0" applyBorder="0" applyAlignment="0" applyProtection="0"/>
    <xf numFmtId="167" fontId="17" fillId="7" borderId="0" applyNumberFormat="0" applyBorder="0" applyAlignment="0" applyProtection="0"/>
    <xf numFmtId="167" fontId="17" fillId="8" borderId="0" applyNumberFormat="0" applyBorder="0" applyAlignment="0" applyProtection="0"/>
    <xf numFmtId="167" fontId="17" fillId="9" borderId="0" applyNumberFormat="0" applyBorder="0" applyAlignment="0" applyProtection="0"/>
    <xf numFmtId="167" fontId="17" fillId="10" borderId="0" applyNumberFormat="0" applyBorder="0" applyAlignment="0" applyProtection="0"/>
    <xf numFmtId="167" fontId="17" fillId="11" borderId="0" applyNumberFormat="0" applyBorder="0" applyAlignment="0" applyProtection="0"/>
    <xf numFmtId="167" fontId="17" fillId="12" borderId="0" applyNumberFormat="0" applyBorder="0" applyAlignment="0" applyProtection="0"/>
    <xf numFmtId="167" fontId="17" fillId="13" borderId="0" applyNumberFormat="0" applyBorder="0" applyAlignment="0" applyProtection="0"/>
    <xf numFmtId="167" fontId="17" fillId="8" borderId="0" applyNumberFormat="0" applyBorder="0" applyAlignment="0" applyProtection="0"/>
    <xf numFmtId="167" fontId="17" fillId="11" borderId="0" applyNumberFormat="0" applyBorder="0" applyAlignment="0" applyProtection="0"/>
    <xf numFmtId="167" fontId="17" fillId="14" borderId="0" applyNumberFormat="0" applyBorder="0" applyAlignment="0" applyProtection="0"/>
    <xf numFmtId="167" fontId="24" fillId="15" borderId="0" applyNumberFormat="0" applyBorder="0" applyAlignment="0" applyProtection="0"/>
    <xf numFmtId="167" fontId="24" fillId="12" borderId="0" applyNumberFormat="0" applyBorder="0" applyAlignment="0" applyProtection="0"/>
    <xf numFmtId="167" fontId="24" fillId="13" borderId="0" applyNumberFormat="0" applyBorder="0" applyAlignment="0" applyProtection="0"/>
    <xf numFmtId="167" fontId="24" fillId="16" borderId="0" applyNumberFormat="0" applyBorder="0" applyAlignment="0" applyProtection="0"/>
    <xf numFmtId="167" fontId="24" fillId="17" borderId="0" applyNumberFormat="0" applyBorder="0" applyAlignment="0" applyProtection="0"/>
    <xf numFmtId="167" fontId="24" fillId="18" borderId="0" applyNumberFormat="0" applyBorder="0" applyAlignment="0" applyProtection="0"/>
    <xf numFmtId="167" fontId="24" fillId="19" borderId="0" applyNumberFormat="0" applyBorder="0" applyAlignment="0" applyProtection="0"/>
    <xf numFmtId="167" fontId="24" fillId="20" borderId="0" applyNumberFormat="0" applyBorder="0" applyAlignment="0" applyProtection="0"/>
    <xf numFmtId="167" fontId="24" fillId="21" borderId="0" applyNumberFormat="0" applyBorder="0" applyAlignment="0" applyProtection="0"/>
    <xf numFmtId="167" fontId="24" fillId="16" borderId="0" applyNumberFormat="0" applyBorder="0" applyAlignment="0" applyProtection="0"/>
    <xf numFmtId="167" fontId="24" fillId="17" borderId="0" applyNumberFormat="0" applyBorder="0" applyAlignment="0" applyProtection="0"/>
    <xf numFmtId="167" fontId="24" fillId="22" borderId="0" applyNumberFormat="0" applyBorder="0" applyAlignment="0" applyProtection="0"/>
    <xf numFmtId="167" fontId="25" fillId="6" borderId="0" applyNumberFormat="0" applyBorder="0" applyAlignment="0" applyProtection="0"/>
    <xf numFmtId="167" fontId="26" fillId="23" borderId="4" applyNumberFormat="0" applyAlignment="0" applyProtection="0"/>
    <xf numFmtId="167" fontId="27" fillId="24" borderId="5" applyNumberFormat="0" applyAlignment="0" applyProtection="0"/>
    <xf numFmtId="165" fontId="17"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9"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7" fontId="28" fillId="0" borderId="0" applyNumberFormat="0" applyFill="0" applyBorder="0" applyAlignment="0" applyProtection="0"/>
    <xf numFmtId="167" fontId="29" fillId="7" borderId="0" applyNumberFormat="0" applyBorder="0" applyAlignment="0" applyProtection="0"/>
    <xf numFmtId="167" fontId="30" fillId="0" borderId="6" applyNumberFormat="0" applyFill="0" applyAlignment="0" applyProtection="0"/>
    <xf numFmtId="167" fontId="31" fillId="0" borderId="7" applyNumberFormat="0" applyFill="0" applyAlignment="0" applyProtection="0"/>
    <xf numFmtId="167" fontId="32" fillId="0" borderId="8" applyNumberFormat="0" applyFill="0" applyAlignment="0" applyProtection="0"/>
    <xf numFmtId="167" fontId="22" fillId="0" borderId="0" applyFill="0" applyBorder="0">
      <alignment vertical="center"/>
    </xf>
    <xf numFmtId="167" fontId="32" fillId="0" borderId="0" applyNumberFormat="0" applyFill="0" applyBorder="0" applyAlignment="0" applyProtection="0"/>
    <xf numFmtId="167" fontId="33" fillId="10" borderId="4" applyNumberFormat="0" applyAlignment="0" applyProtection="0"/>
    <xf numFmtId="167" fontId="34" fillId="0" borderId="9" applyNumberFormat="0" applyFill="0" applyAlignment="0" applyProtection="0"/>
    <xf numFmtId="167" fontId="35" fillId="25" borderId="0">
      <alignment horizontal="center"/>
    </xf>
    <xf numFmtId="167" fontId="36" fillId="26" borderId="0" applyNumberFormat="0" applyBorder="0" applyAlignment="0" applyProtection="0"/>
    <xf numFmtId="167" fontId="14" fillId="0" borderId="0"/>
    <xf numFmtId="0" fontId="16" fillId="0" borderId="0"/>
    <xf numFmtId="167" fontId="15" fillId="0" borderId="0"/>
    <xf numFmtId="0" fontId="37" fillId="0" borderId="0"/>
    <xf numFmtId="0" fontId="18" fillId="0" borderId="0"/>
    <xf numFmtId="0" fontId="18" fillId="0" borderId="0"/>
    <xf numFmtId="0" fontId="18" fillId="0" borderId="0"/>
    <xf numFmtId="0" fontId="14" fillId="0" borderId="0"/>
    <xf numFmtId="0" fontId="14" fillId="0" borderId="0"/>
    <xf numFmtId="0" fontId="14" fillId="0" borderId="0"/>
    <xf numFmtId="0" fontId="14" fillId="0" borderId="0"/>
    <xf numFmtId="0" fontId="15" fillId="0" borderId="0"/>
    <xf numFmtId="167" fontId="15" fillId="0" borderId="0"/>
    <xf numFmtId="167" fontId="14" fillId="0" borderId="0"/>
    <xf numFmtId="167" fontId="14" fillId="0" borderId="0"/>
    <xf numFmtId="167" fontId="14" fillId="0" borderId="0"/>
    <xf numFmtId="167" fontId="18" fillId="0" borderId="0"/>
    <xf numFmtId="167" fontId="15" fillId="0" borderId="0"/>
    <xf numFmtId="167" fontId="18" fillId="0" borderId="0"/>
    <xf numFmtId="167" fontId="15"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8" fillId="0" borderId="0">
      <alignment vertical="top"/>
    </xf>
    <xf numFmtId="167" fontId="18" fillId="0" borderId="0">
      <alignment vertical="top"/>
    </xf>
    <xf numFmtId="0" fontId="14" fillId="0" borderId="0"/>
    <xf numFmtId="167" fontId="18" fillId="0" borderId="0">
      <alignment vertical="top"/>
    </xf>
    <xf numFmtId="167" fontId="18" fillId="0" borderId="0">
      <alignment vertical="top"/>
    </xf>
    <xf numFmtId="167" fontId="15" fillId="0" borderId="0">
      <alignment wrapText="1"/>
    </xf>
    <xf numFmtId="167" fontId="18" fillId="0" borderId="0">
      <alignment vertical="top"/>
    </xf>
    <xf numFmtId="167" fontId="15" fillId="0" borderId="0">
      <alignment wrapText="1"/>
    </xf>
    <xf numFmtId="167" fontId="38" fillId="0" borderId="0"/>
    <xf numFmtId="167" fontId="15" fillId="0" borderId="0"/>
    <xf numFmtId="167" fontId="15" fillId="0" borderId="0"/>
    <xf numFmtId="167" fontId="15" fillId="0" borderId="0"/>
    <xf numFmtId="167" fontId="16" fillId="0" borderId="0"/>
    <xf numFmtId="167" fontId="15" fillId="27" borderId="10"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167" fontId="39" fillId="23" borderId="11" applyNumberFormat="0" applyAlignment="0" applyProtection="0"/>
    <xf numFmtId="9" fontId="15" fillId="0" borderId="0" applyFont="0" applyFill="0" applyBorder="0" applyAlignment="0" applyProtection="0"/>
    <xf numFmtId="9" fontId="40"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167" fontId="41" fillId="0" borderId="0"/>
    <xf numFmtId="167" fontId="42" fillId="0" borderId="0" applyNumberFormat="0" applyFill="0" applyBorder="0" applyAlignment="0" applyProtection="0"/>
    <xf numFmtId="167" fontId="43" fillId="0" borderId="12" applyNumberFormat="0" applyFill="0" applyAlignment="0" applyProtection="0"/>
    <xf numFmtId="167" fontId="44" fillId="0" borderId="0" applyNumberFormat="0" applyFill="0" applyBorder="0" applyAlignment="0" applyProtection="0"/>
    <xf numFmtId="0" fontId="13" fillId="0" borderId="0"/>
    <xf numFmtId="165" fontId="13" fillId="0" borderId="0" applyFont="0" applyFill="0" applyBorder="0" applyAlignment="0" applyProtection="0"/>
    <xf numFmtId="165"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13" fillId="0" borderId="0"/>
    <xf numFmtId="167" fontId="18" fillId="0" borderId="0"/>
    <xf numFmtId="167" fontId="13" fillId="0" borderId="0"/>
    <xf numFmtId="167" fontId="13" fillId="0" borderId="0"/>
    <xf numFmtId="167" fontId="13" fillId="0" borderId="0"/>
    <xf numFmtId="167" fontId="13" fillId="0" borderId="0"/>
    <xf numFmtId="167" fontId="15" fillId="0" borderId="0">
      <alignment wrapText="1"/>
    </xf>
    <xf numFmtId="167" fontId="13" fillId="0" borderId="0"/>
    <xf numFmtId="167" fontId="13" fillId="0" borderId="0"/>
    <xf numFmtId="167" fontId="15" fillId="0" borderId="0"/>
    <xf numFmtId="167" fontId="15" fillId="0" borderId="0"/>
    <xf numFmtId="9" fontId="13" fillId="0" borderId="0" applyFont="0" applyFill="0" applyBorder="0" applyAlignment="0" applyProtection="0"/>
    <xf numFmtId="167" fontId="13" fillId="0" borderId="0"/>
    <xf numFmtId="0" fontId="48" fillId="0" borderId="0" applyNumberFormat="0" applyFill="0" applyBorder="0" applyAlignment="0" applyProtection="0">
      <alignment vertical="top"/>
      <protection locked="0"/>
    </xf>
    <xf numFmtId="0" fontId="18" fillId="0" borderId="0"/>
    <xf numFmtId="0" fontId="15" fillId="0" borderId="0"/>
    <xf numFmtId="0" fontId="12" fillId="0" borderId="0"/>
    <xf numFmtId="0" fontId="12" fillId="0" borderId="0"/>
    <xf numFmtId="0" fontId="12" fillId="0" borderId="0"/>
    <xf numFmtId="0" fontId="12" fillId="0" borderId="0"/>
    <xf numFmtId="0" fontId="12"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7" fontId="12" fillId="0" borderId="0"/>
    <xf numFmtId="0" fontId="12" fillId="0" borderId="0"/>
    <xf numFmtId="0" fontId="12" fillId="0" borderId="0"/>
    <xf numFmtId="0" fontId="12" fillId="0" borderId="0"/>
    <xf numFmtId="0" fontId="12" fillId="0" borderId="0"/>
    <xf numFmtId="167" fontId="12" fillId="0" borderId="0"/>
    <xf numFmtId="167" fontId="12" fillId="0" borderId="0"/>
    <xf numFmtId="167" fontId="12" fillId="0" borderId="0"/>
    <xf numFmtId="0" fontId="12" fillId="0" borderId="0"/>
    <xf numFmtId="0" fontId="12" fillId="0" borderId="0"/>
    <xf numFmtId="167" fontId="12" fillId="0" borderId="0"/>
    <xf numFmtId="0" fontId="12" fillId="0" borderId="0"/>
    <xf numFmtId="167" fontId="12" fillId="0" borderId="0"/>
    <xf numFmtId="0" fontId="12" fillId="0" borderId="0"/>
    <xf numFmtId="0" fontId="12" fillId="0" borderId="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165" fontId="12"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7" fontId="12" fillId="0" borderId="0"/>
    <xf numFmtId="167" fontId="12" fillId="0" borderId="0"/>
    <xf numFmtId="167" fontId="12" fillId="0" borderId="0"/>
    <xf numFmtId="167" fontId="12" fillId="0" borderId="0"/>
    <xf numFmtId="167" fontId="12" fillId="0" borderId="0"/>
    <xf numFmtId="167" fontId="12" fillId="0" borderId="0"/>
    <xf numFmtId="167" fontId="12" fillId="0" borderId="0"/>
    <xf numFmtId="9" fontId="12" fillId="0" borderId="0" applyFont="0" applyFill="0" applyBorder="0" applyAlignment="0" applyProtection="0"/>
    <xf numFmtId="167" fontId="12" fillId="0" borderId="0"/>
    <xf numFmtId="0" fontId="55" fillId="0" borderId="0" applyNumberFormat="0" applyFill="0" applyBorder="0" applyAlignment="0" applyProtection="0"/>
    <xf numFmtId="0" fontId="56" fillId="0" borderId="17" applyNumberFormat="0" applyFill="0" applyAlignment="0" applyProtection="0"/>
    <xf numFmtId="0" fontId="57" fillId="0" borderId="18" applyNumberFormat="0" applyFill="0" applyAlignment="0" applyProtection="0"/>
    <xf numFmtId="0" fontId="58" fillId="0" borderId="19" applyNumberFormat="0" applyFill="0" applyAlignment="0" applyProtection="0"/>
    <xf numFmtId="0" fontId="58" fillId="0" borderId="0" applyNumberFormat="0" applyFill="0" applyBorder="0" applyAlignment="0" applyProtection="0"/>
    <xf numFmtId="0" fontId="59" fillId="28" borderId="0" applyNumberFormat="0" applyBorder="0" applyAlignment="0" applyProtection="0"/>
    <xf numFmtId="0" fontId="60" fillId="29" borderId="0" applyNumberFormat="0" applyBorder="0" applyAlignment="0" applyProtection="0"/>
    <xf numFmtId="0" fontId="61" fillId="30" borderId="0" applyNumberFormat="0" applyBorder="0" applyAlignment="0" applyProtection="0"/>
    <xf numFmtId="0" fontId="62" fillId="31" borderId="20" applyNumberFormat="0" applyAlignment="0" applyProtection="0"/>
    <xf numFmtId="0" fontId="63" fillId="32" borderId="21" applyNumberFormat="0" applyAlignment="0" applyProtection="0"/>
    <xf numFmtId="0" fontId="64" fillId="32" borderId="20" applyNumberFormat="0" applyAlignment="0" applyProtection="0"/>
    <xf numFmtId="0" fontId="65" fillId="0" borderId="22" applyNumberFormat="0" applyFill="0" applyAlignment="0" applyProtection="0"/>
    <xf numFmtId="0" fontId="66" fillId="33" borderId="23" applyNumberFormat="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45" fillId="0" borderId="24" applyNumberFormat="0" applyFill="0" applyAlignment="0" applyProtection="0"/>
    <xf numFmtId="0" fontId="69"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69" fillId="37" borderId="0" applyNumberFormat="0" applyBorder="0" applyAlignment="0" applyProtection="0"/>
    <xf numFmtId="0" fontId="69"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69" fillId="41" borderId="0" applyNumberFormat="0" applyBorder="0" applyAlignment="0" applyProtection="0"/>
    <xf numFmtId="0" fontId="69"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11" fillId="47" borderId="0" applyNumberFormat="0" applyBorder="0" applyAlignment="0" applyProtection="0"/>
    <xf numFmtId="0" fontId="11" fillId="48"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11" fillId="51" borderId="0" applyNumberFormat="0" applyBorder="0" applyAlignment="0" applyProtection="0"/>
    <xf numFmtId="0" fontId="11" fillId="52"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11" fillId="55" borderId="0" applyNumberFormat="0" applyBorder="0" applyAlignment="0" applyProtection="0"/>
    <xf numFmtId="0" fontId="11" fillId="56" borderId="0" applyNumberFormat="0" applyBorder="0" applyAlignment="0" applyProtection="0"/>
    <xf numFmtId="0" fontId="69" fillId="57" borderId="0" applyNumberFormat="0" applyBorder="0" applyAlignment="0" applyProtection="0"/>
    <xf numFmtId="0" fontId="11" fillId="0" borderId="0"/>
    <xf numFmtId="0" fontId="11" fillId="2" borderId="1" applyNumberFormat="0" applyFont="0" applyAlignment="0" applyProtection="0"/>
    <xf numFmtId="9" fontId="16" fillId="0" borderId="0" applyFont="0" applyFill="0" applyBorder="0" applyAlignment="0" applyProtection="0"/>
    <xf numFmtId="0" fontId="10" fillId="0" borderId="0"/>
    <xf numFmtId="9" fontId="16" fillId="0" borderId="0" applyFont="0" applyFill="0" applyBorder="0" applyAlignment="0" applyProtection="0"/>
    <xf numFmtId="0" fontId="10" fillId="0" borderId="0"/>
    <xf numFmtId="0" fontId="9" fillId="0" borderId="0"/>
    <xf numFmtId="0" fontId="9" fillId="2" borderId="1" applyNumberFormat="0" applyFont="0" applyAlignment="0" applyProtection="0"/>
    <xf numFmtId="0" fontId="9" fillId="35"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51" borderId="0" applyNumberFormat="0" applyBorder="0" applyAlignment="0" applyProtection="0"/>
    <xf numFmtId="0" fontId="9" fillId="52" borderId="0" applyNumberFormat="0" applyBorder="0" applyAlignment="0" applyProtection="0"/>
    <xf numFmtId="0" fontId="9" fillId="55" borderId="0" applyNumberFormat="0" applyBorder="0" applyAlignment="0" applyProtection="0"/>
    <xf numFmtId="0" fontId="9"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165"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165" fontId="7" fillId="0" borderId="0" applyFont="0" applyFill="0" applyBorder="0" applyAlignment="0" applyProtection="0"/>
    <xf numFmtId="0" fontId="71" fillId="25" borderId="0"/>
    <xf numFmtId="169" fontId="72" fillId="0" borderId="0"/>
    <xf numFmtId="0" fontId="15" fillId="0" borderId="0"/>
    <xf numFmtId="0" fontId="7" fillId="0" borderId="0"/>
    <xf numFmtId="9" fontId="7" fillId="0" borderId="0" applyFont="0" applyFill="0" applyBorder="0" applyAlignment="0" applyProtection="0"/>
    <xf numFmtId="164" fontId="7" fillId="0" borderId="0" applyFont="0" applyFill="0" applyBorder="0" applyAlignment="0" applyProtection="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165" fontId="7" fillId="0" borderId="0" applyFont="0" applyFill="0" applyBorder="0" applyAlignment="0" applyProtection="0"/>
    <xf numFmtId="0" fontId="7" fillId="0" borderId="0"/>
    <xf numFmtId="9"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65"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165" fontId="7" fillId="0" borderId="0" applyFont="0" applyFill="0" applyBorder="0" applyAlignment="0" applyProtection="0"/>
    <xf numFmtId="0" fontId="7" fillId="0" borderId="0"/>
    <xf numFmtId="9" fontId="7" fillId="0" borderId="0" applyFont="0" applyFill="0" applyBorder="0" applyAlignment="0" applyProtection="0"/>
    <xf numFmtId="164"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165"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165"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165" fontId="6" fillId="0" borderId="0" applyFont="0" applyFill="0" applyBorder="0" applyAlignment="0" applyProtection="0"/>
    <xf numFmtId="0" fontId="6" fillId="0" borderId="0"/>
    <xf numFmtId="9" fontId="6" fillId="0" borderId="0" applyFont="0" applyFill="0" applyBorder="0" applyAlignment="0" applyProtection="0"/>
    <xf numFmtId="164" fontId="6" fillId="0" borderId="0" applyFont="0" applyFill="0" applyBorder="0" applyAlignment="0" applyProtection="0"/>
    <xf numFmtId="0" fontId="5" fillId="0" borderId="0"/>
    <xf numFmtId="170" fontId="15" fillId="0" borderId="0"/>
    <xf numFmtId="170" fontId="77" fillId="0" borderId="0"/>
    <xf numFmtId="0" fontId="4" fillId="0" borderId="0"/>
    <xf numFmtId="0" fontId="92" fillId="0" borderId="0" applyNumberFormat="0" applyFill="0" applyBorder="0" applyAlignment="0" applyProtection="0"/>
    <xf numFmtId="0" fontId="3" fillId="0" borderId="0"/>
  </cellStyleXfs>
  <cellXfs count="466">
    <xf numFmtId="0" fontId="0" fillId="0" borderId="0" xfId="0"/>
    <xf numFmtId="167" fontId="49" fillId="0" borderId="0" xfId="150" applyNumberFormat="1" applyFont="1" applyAlignment="1" applyProtection="1">
      <alignment vertical="center"/>
    </xf>
    <xf numFmtId="0" fontId="21" fillId="0" borderId="0" xfId="0" applyFont="1" applyAlignment="1">
      <alignment vertical="center"/>
    </xf>
    <xf numFmtId="0" fontId="0" fillId="0" borderId="0" xfId="0" applyAlignment="1">
      <alignment vertical="center"/>
    </xf>
    <xf numFmtId="0" fontId="23" fillId="0" borderId="0" xfId="0" applyFont="1" applyAlignment="1">
      <alignment vertical="center"/>
    </xf>
    <xf numFmtId="0" fontId="0" fillId="0" borderId="0" xfId="0" applyAlignment="1">
      <alignment horizontal="left" vertical="center"/>
    </xf>
    <xf numFmtId="0" fontId="15" fillId="0" borderId="0" xfId="5" applyAlignment="1">
      <alignment vertical="center"/>
    </xf>
    <xf numFmtId="167" fontId="50" fillId="0" borderId="0" xfId="88" applyFont="1" applyAlignment="1">
      <alignment horizontal="left" vertical="center"/>
    </xf>
    <xf numFmtId="167" fontId="50" fillId="0" borderId="0" xfId="88" applyFont="1" applyAlignment="1">
      <alignment vertical="center"/>
    </xf>
    <xf numFmtId="0" fontId="16" fillId="0" borderId="2" xfId="137" applyNumberFormat="1" applyFont="1" applyBorder="1" applyAlignment="1">
      <alignment horizontal="left" vertical="center"/>
    </xf>
    <xf numFmtId="0" fontId="15" fillId="0" borderId="0" xfId="5" applyAlignment="1">
      <alignment horizontal="left" vertical="center"/>
    </xf>
    <xf numFmtId="2" fontId="16" fillId="0" borderId="2" xfId="137" applyNumberFormat="1" applyFont="1" applyBorder="1" applyAlignment="1">
      <alignment horizontal="center" vertical="center"/>
    </xf>
    <xf numFmtId="167" fontId="16" fillId="0" borderId="2" xfId="137" applyFont="1" applyBorder="1" applyAlignment="1">
      <alignment horizontal="center" vertical="center"/>
    </xf>
    <xf numFmtId="167" fontId="19" fillId="0" borderId="0" xfId="88" applyFont="1" applyAlignment="1">
      <alignment vertical="center"/>
    </xf>
    <xf numFmtId="167" fontId="15" fillId="0" borderId="0" xfId="78" applyAlignment="1">
      <alignment vertical="center"/>
    </xf>
    <xf numFmtId="167" fontId="20" fillId="0" borderId="0" xfId="137" applyFont="1" applyAlignment="1">
      <alignment vertical="center"/>
    </xf>
    <xf numFmtId="167" fontId="21" fillId="0" borderId="0" xfId="137" applyFont="1" applyAlignment="1">
      <alignment vertical="center"/>
    </xf>
    <xf numFmtId="167" fontId="47" fillId="0" borderId="0" xfId="137" applyFont="1" applyAlignment="1">
      <alignment vertical="center"/>
    </xf>
    <xf numFmtId="166" fontId="16" fillId="0" borderId="2" xfId="137" applyNumberFormat="1" applyFont="1" applyBorder="1" applyAlignment="1">
      <alignment horizontal="center" vertical="center"/>
    </xf>
    <xf numFmtId="167" fontId="45" fillId="0" borderId="0" xfId="137" applyFont="1" applyAlignment="1">
      <alignment vertical="center"/>
    </xf>
    <xf numFmtId="0" fontId="16" fillId="0" borderId="2" xfId="137" applyNumberFormat="1" applyFont="1" applyBorder="1" applyAlignment="1">
      <alignment horizontal="center" vertical="center"/>
    </xf>
    <xf numFmtId="167" fontId="46" fillId="0" borderId="0" xfId="88" applyFont="1" applyAlignment="1">
      <alignment vertical="center"/>
    </xf>
    <xf numFmtId="167" fontId="13" fillId="0" borderId="0" xfId="137" applyAlignment="1">
      <alignment vertical="center"/>
    </xf>
    <xf numFmtId="167" fontId="54" fillId="0" borderId="0" xfId="88" applyFont="1" applyAlignment="1">
      <alignment vertical="center"/>
    </xf>
    <xf numFmtId="0" fontId="0" fillId="0" borderId="0" xfId="0" quotePrefix="1"/>
    <xf numFmtId="0" fontId="70" fillId="59" borderId="2" xfId="137" applyNumberFormat="1" applyFont="1" applyFill="1" applyBorder="1" applyAlignment="1">
      <alignment horizontal="center" vertical="center"/>
    </xf>
    <xf numFmtId="0" fontId="70" fillId="58" borderId="2" xfId="137" applyNumberFormat="1" applyFont="1" applyFill="1" applyBorder="1" applyAlignment="1">
      <alignment horizontal="center" vertical="center"/>
    </xf>
    <xf numFmtId="0" fontId="70" fillId="60" borderId="2" xfId="137" applyNumberFormat="1" applyFont="1" applyFill="1" applyBorder="1" applyAlignment="1">
      <alignment horizontal="center" vertical="center"/>
    </xf>
    <xf numFmtId="9" fontId="70" fillId="59" borderId="2" xfId="242" applyFont="1" applyFill="1" applyBorder="1" applyAlignment="1" applyProtection="1">
      <alignment horizontal="center" vertical="center"/>
    </xf>
    <xf numFmtId="0" fontId="70" fillId="0" borderId="2" xfId="137" applyNumberFormat="1" applyFont="1" applyBorder="1" applyAlignment="1">
      <alignment horizontal="center" vertical="center"/>
    </xf>
    <xf numFmtId="9" fontId="70" fillId="0" borderId="2" xfId="242" applyFont="1" applyBorder="1" applyAlignment="1" applyProtection="1">
      <alignment horizontal="center" vertical="center"/>
    </xf>
    <xf numFmtId="9" fontId="70" fillId="58" borderId="2" xfId="242" applyFont="1" applyFill="1" applyBorder="1" applyAlignment="1" applyProtection="1">
      <alignment horizontal="center" vertical="center"/>
    </xf>
    <xf numFmtId="9" fontId="70" fillId="0" borderId="2" xfId="137" applyNumberFormat="1" applyFont="1" applyBorder="1" applyAlignment="1">
      <alignment horizontal="center" vertical="center"/>
    </xf>
    <xf numFmtId="9" fontId="70" fillId="60" borderId="2" xfId="242" applyFont="1" applyFill="1" applyBorder="1" applyAlignment="1" applyProtection="1">
      <alignment horizontal="center" vertical="center"/>
    </xf>
    <xf numFmtId="0" fontId="15" fillId="0" borderId="0" xfId="5" applyAlignment="1">
      <alignment horizontal="center" vertical="center"/>
    </xf>
    <xf numFmtId="9" fontId="70" fillId="0" borderId="2" xfId="242" applyFont="1" applyFill="1" applyBorder="1" applyAlignment="1" applyProtection="1">
      <alignment horizontal="center" vertical="center"/>
    </xf>
    <xf numFmtId="0" fontId="20" fillId="63" borderId="2" xfId="0" applyFont="1" applyFill="1" applyBorder="1" applyAlignment="1">
      <alignment vertical="center" wrapText="1"/>
    </xf>
    <xf numFmtId="0" fontId="16" fillId="0" borderId="26" xfId="0" applyFont="1" applyBorder="1" applyAlignment="1" applyProtection="1">
      <alignment horizontal="left" vertical="center"/>
      <protection locked="0"/>
    </xf>
    <xf numFmtId="0" fontId="16" fillId="0" borderId="29" xfId="0" applyFont="1" applyBorder="1" applyAlignment="1" applyProtection="1">
      <alignment horizontal="left" vertical="center"/>
      <protection locked="0"/>
    </xf>
    <xf numFmtId="0" fontId="74" fillId="62" borderId="2" xfId="0" applyFont="1" applyFill="1" applyBorder="1" applyAlignment="1">
      <alignment horizontal="center" vertical="center"/>
    </xf>
    <xf numFmtId="3" fontId="74" fillId="62" borderId="2" xfId="0" applyNumberFormat="1" applyFont="1" applyFill="1" applyBorder="1" applyAlignment="1">
      <alignment horizontal="center" vertical="center"/>
    </xf>
    <xf numFmtId="0" fontId="5" fillId="4" borderId="0" xfId="2233" applyFill="1"/>
    <xf numFmtId="170" fontId="15" fillId="4" borderId="0" xfId="2234" applyFill="1" applyAlignment="1" applyProtection="1">
      <alignment vertical="top" wrapText="1"/>
      <protection hidden="1"/>
    </xf>
    <xf numFmtId="170" fontId="78" fillId="64" borderId="0" xfId="2235" applyFont="1" applyFill="1" applyAlignment="1">
      <alignment horizontal="left" vertical="center"/>
    </xf>
    <xf numFmtId="170" fontId="79" fillId="64" borderId="0" xfId="2235" applyFont="1" applyFill="1"/>
    <xf numFmtId="170" fontId="79" fillId="0" borderId="0" xfId="2235" applyFont="1" applyAlignment="1">
      <alignment horizontal="left" vertical="center"/>
    </xf>
    <xf numFmtId="170" fontId="79" fillId="0" borderId="0" xfId="2235" applyFont="1"/>
    <xf numFmtId="0" fontId="46" fillId="4" borderId="0" xfId="0" applyFont="1" applyFill="1" applyAlignment="1">
      <alignment vertical="center"/>
    </xf>
    <xf numFmtId="0" fontId="16" fillId="0" borderId="28" xfId="0" applyFont="1" applyBorder="1" applyAlignment="1" applyProtection="1">
      <alignment horizontal="left" vertical="center"/>
      <protection locked="0"/>
    </xf>
    <xf numFmtId="0" fontId="0" fillId="0" borderId="28" xfId="0" applyBorder="1" applyAlignment="1" applyProtection="1">
      <alignment horizontal="left" vertical="center"/>
      <protection locked="0"/>
    </xf>
    <xf numFmtId="0" fontId="16" fillId="65" borderId="2" xfId="0" applyFont="1" applyFill="1" applyBorder="1" applyAlignment="1" applyProtection="1">
      <alignment vertical="center" wrapText="1"/>
      <protection locked="0"/>
    </xf>
    <xf numFmtId="0" fontId="0" fillId="65" borderId="2" xfId="0" applyFill="1" applyBorder="1" applyAlignment="1" applyProtection="1">
      <alignment vertical="center" wrapText="1"/>
      <protection locked="0"/>
    </xf>
    <xf numFmtId="0" fontId="80" fillId="4" borderId="0" xfId="0" applyFont="1" applyFill="1" applyAlignment="1">
      <alignment vertical="center"/>
    </xf>
    <xf numFmtId="0" fontId="16" fillId="0" borderId="0" xfId="2236" applyFont="1"/>
    <xf numFmtId="0" fontId="81" fillId="0" borderId="26" xfId="2236" applyFont="1" applyBorder="1" applyAlignment="1">
      <alignment horizontal="center" vertical="center"/>
    </xf>
    <xf numFmtId="0" fontId="81" fillId="0" borderId="0" xfId="2236" applyFont="1" applyAlignment="1">
      <alignment horizontal="center" vertical="center"/>
    </xf>
    <xf numFmtId="0" fontId="16" fillId="0" borderId="0" xfId="2236" applyFont="1" applyAlignment="1">
      <alignment vertical="center"/>
    </xf>
    <xf numFmtId="0" fontId="81" fillId="63" borderId="2" xfId="2236" applyFont="1" applyFill="1" applyBorder="1" applyAlignment="1">
      <alignment horizontal="center" vertical="center"/>
    </xf>
    <xf numFmtId="0" fontId="82" fillId="62" borderId="2" xfId="2236" applyFont="1" applyFill="1" applyBorder="1" applyAlignment="1">
      <alignment horizontal="center" vertical="center"/>
    </xf>
    <xf numFmtId="0" fontId="20" fillId="0" borderId="0" xfId="2236" applyFont="1"/>
    <xf numFmtId="0" fontId="81" fillId="65" borderId="2" xfId="2236" applyFont="1" applyFill="1" applyBorder="1" applyAlignment="1">
      <alignment horizontal="center" vertical="center"/>
    </xf>
    <xf numFmtId="0" fontId="20" fillId="63" borderId="2" xfId="0" applyFont="1" applyFill="1" applyBorder="1" applyAlignment="1">
      <alignment horizontal="center" vertical="center" wrapText="1"/>
    </xf>
    <xf numFmtId="0" fontId="86" fillId="61" borderId="0" xfId="0" applyFont="1" applyFill="1" applyAlignment="1">
      <alignment vertical="center"/>
    </xf>
    <xf numFmtId="0" fontId="86" fillId="62" borderId="0" xfId="0" applyFont="1" applyFill="1" applyAlignment="1">
      <alignment vertical="center"/>
    </xf>
    <xf numFmtId="0" fontId="88" fillId="0" borderId="0" xfId="5" applyFont="1" applyAlignment="1">
      <alignment vertical="center"/>
    </xf>
    <xf numFmtId="0" fontId="46" fillId="4" borderId="0" xfId="0" applyFont="1" applyFill="1" applyAlignment="1" applyProtection="1">
      <alignment vertical="center"/>
      <protection locked="0"/>
    </xf>
    <xf numFmtId="0" fontId="16" fillId="0" borderId="0" xfId="0" applyFont="1" applyAlignment="1" applyProtection="1">
      <alignment horizontal="left" vertical="center"/>
      <protection locked="0"/>
    </xf>
    <xf numFmtId="0" fontId="74" fillId="62" borderId="13" xfId="0" applyFont="1" applyFill="1" applyBorder="1" applyAlignment="1">
      <alignment vertical="center"/>
    </xf>
    <xf numFmtId="168" fontId="90" fillId="62" borderId="2" xfId="152" applyNumberFormat="1" applyFont="1" applyFill="1" applyBorder="1" applyAlignment="1">
      <alignment horizontal="center" vertical="center" wrapText="1"/>
    </xf>
    <xf numFmtId="0" fontId="20" fillId="0" borderId="3" xfId="0" applyFont="1" applyBorder="1" applyAlignment="1">
      <alignment horizontal="left" vertical="center" wrapText="1"/>
    </xf>
    <xf numFmtId="0" fontId="16" fillId="0" borderId="31" xfId="0" applyFont="1" applyBorder="1" applyAlignment="1" applyProtection="1">
      <alignment horizontal="left" vertical="center"/>
      <protection locked="0"/>
    </xf>
    <xf numFmtId="0" fontId="19" fillId="0" borderId="0" xfId="5" applyFont="1" applyAlignment="1">
      <alignment vertical="center"/>
    </xf>
    <xf numFmtId="0" fontId="91" fillId="0" borderId="0" xfId="0" applyFont="1"/>
    <xf numFmtId="0" fontId="0" fillId="0" borderId="26" xfId="0" applyBorder="1" applyAlignment="1" applyProtection="1">
      <alignment horizontal="left" vertical="center"/>
      <protection locked="0"/>
    </xf>
    <xf numFmtId="0" fontId="74" fillId="62" borderId="2" xfId="0" applyFont="1" applyFill="1" applyBorder="1" applyAlignment="1" applyProtection="1">
      <alignment horizontal="center" vertical="center"/>
      <protection hidden="1"/>
    </xf>
    <xf numFmtId="167" fontId="0" fillId="66" borderId="2" xfId="137" applyFont="1" applyFill="1" applyBorder="1" applyAlignment="1">
      <alignment horizontal="center" vertical="center"/>
    </xf>
    <xf numFmtId="2" fontId="16" fillId="66" borderId="2" xfId="137" applyNumberFormat="1" applyFont="1" applyFill="1" applyBorder="1" applyAlignment="1">
      <alignment horizontal="center" vertical="center"/>
    </xf>
    <xf numFmtId="167" fontId="16" fillId="0" borderId="0" xfId="137" applyFont="1" applyAlignment="1">
      <alignment horizontal="center" vertical="center"/>
    </xf>
    <xf numFmtId="2" fontId="16" fillId="0" borderId="0" xfId="137" applyNumberFormat="1" applyFont="1" applyAlignment="1">
      <alignment horizontal="center" vertical="center"/>
    </xf>
    <xf numFmtId="0" fontId="16" fillId="0" borderId="0" xfId="137" applyNumberFormat="1" applyFont="1" applyAlignment="1">
      <alignment horizontal="center" vertical="center"/>
    </xf>
    <xf numFmtId="0" fontId="16" fillId="66" borderId="2" xfId="137" applyNumberFormat="1" applyFont="1" applyFill="1" applyBorder="1" applyAlignment="1">
      <alignment horizontal="center" vertical="center"/>
    </xf>
    <xf numFmtId="166" fontId="16" fillId="66" borderId="2" xfId="137" applyNumberFormat="1" applyFont="1" applyFill="1" applyBorder="1" applyAlignment="1">
      <alignment horizontal="center" vertical="center"/>
    </xf>
    <xf numFmtId="167" fontId="92" fillId="0" borderId="0" xfId="2237" applyNumberFormat="1" applyAlignment="1" applyProtection="1">
      <alignment vertical="center"/>
    </xf>
    <xf numFmtId="0" fontId="3" fillId="4" borderId="0" xfId="2238" applyFill="1"/>
    <xf numFmtId="0" fontId="94" fillId="0" borderId="2" xfId="0" applyFont="1" applyBorder="1" applyAlignment="1">
      <alignment horizontal="left" vertical="center" wrapText="1"/>
    </xf>
    <xf numFmtId="0" fontId="94" fillId="0" borderId="2" xfId="0" applyFont="1" applyBorder="1" applyAlignment="1">
      <alignment horizontal="left" vertical="center"/>
    </xf>
    <xf numFmtId="3" fontId="18" fillId="0" borderId="0" xfId="152" quotePrefix="1" applyNumberFormat="1" applyFont="1" applyAlignment="1">
      <alignment vertical="center" wrapText="1"/>
    </xf>
    <xf numFmtId="3" fontId="18" fillId="0" borderId="0" xfId="152" applyNumberFormat="1" applyFont="1" applyAlignment="1">
      <alignment vertical="center" wrapText="1"/>
    </xf>
    <xf numFmtId="0" fontId="46" fillId="0" borderId="26" xfId="0" applyFont="1" applyBorder="1" applyAlignment="1" applyProtection="1">
      <alignment horizontal="left" vertical="center"/>
      <protection locked="0"/>
    </xf>
    <xf numFmtId="0" fontId="95" fillId="63" borderId="13" xfId="0" applyFont="1" applyFill="1" applyBorder="1" applyAlignment="1">
      <alignment horizontal="center" vertical="center" wrapText="1"/>
    </xf>
    <xf numFmtId="3" fontId="18" fillId="4" borderId="35" xfId="152" applyNumberFormat="1" applyFont="1" applyFill="1" applyBorder="1" applyAlignment="1" applyProtection="1">
      <alignment horizontal="center" vertical="center" wrapText="1"/>
      <protection locked="0"/>
    </xf>
    <xf numFmtId="0" fontId="18" fillId="4" borderId="36" xfId="152" applyFont="1" applyFill="1" applyBorder="1" applyAlignment="1" applyProtection="1">
      <alignment horizontal="center" vertical="center" wrapText="1"/>
      <protection locked="0"/>
    </xf>
    <xf numFmtId="0" fontId="18" fillId="4" borderId="37" xfId="152" applyFont="1" applyFill="1" applyBorder="1" applyAlignment="1" applyProtection="1">
      <alignment horizontal="center" vertical="center" wrapText="1"/>
      <protection locked="0"/>
    </xf>
    <xf numFmtId="0" fontId="18" fillId="4" borderId="38" xfId="152" applyFont="1" applyFill="1" applyBorder="1" applyAlignment="1" applyProtection="1">
      <alignment horizontal="center" vertical="center" wrapText="1"/>
      <protection locked="0"/>
    </xf>
    <xf numFmtId="3" fontId="18" fillId="4" borderId="39" xfId="152" applyNumberFormat="1" applyFont="1" applyFill="1" applyBorder="1" applyAlignment="1" applyProtection="1">
      <alignment horizontal="center" vertical="center" wrapText="1"/>
      <protection locked="0"/>
    </xf>
    <xf numFmtId="0" fontId="95" fillId="63" borderId="40" xfId="0" applyFont="1" applyFill="1" applyBorder="1" applyAlignment="1">
      <alignment horizontal="center" vertical="center" wrapText="1"/>
    </xf>
    <xf numFmtId="0" fontId="18" fillId="4" borderId="41" xfId="152" applyFont="1" applyFill="1" applyBorder="1" applyAlignment="1" applyProtection="1">
      <alignment horizontal="center" vertical="center" wrapText="1"/>
      <protection locked="0"/>
    </xf>
    <xf numFmtId="0" fontId="18" fillId="4" borderId="42" xfId="152" applyFont="1" applyFill="1" applyBorder="1" applyAlignment="1" applyProtection="1">
      <alignment horizontal="center" vertical="center" wrapText="1"/>
      <protection locked="0"/>
    </xf>
    <xf numFmtId="0" fontId="18" fillId="4" borderId="43" xfId="152" applyFont="1" applyFill="1" applyBorder="1" applyAlignment="1" applyProtection="1">
      <alignment horizontal="center" vertical="center" wrapText="1"/>
      <protection locked="0"/>
    </xf>
    <xf numFmtId="171" fontId="18" fillId="4" borderId="44" xfId="152" applyNumberFormat="1" applyFont="1" applyFill="1" applyBorder="1" applyAlignment="1" applyProtection="1">
      <alignment horizontal="center" vertical="center" wrapText="1"/>
      <protection locked="0"/>
    </xf>
    <xf numFmtId="0" fontId="95" fillId="63" borderId="45" xfId="0" applyFont="1" applyFill="1" applyBorder="1" applyAlignment="1">
      <alignment horizontal="center" vertical="center" wrapText="1"/>
    </xf>
    <xf numFmtId="0" fontId="18" fillId="4" borderId="46" xfId="152" applyFont="1" applyFill="1" applyBorder="1" applyAlignment="1" applyProtection="1">
      <alignment horizontal="center" vertical="center" wrapText="1"/>
      <protection locked="0"/>
    </xf>
    <xf numFmtId="0" fontId="18" fillId="4" borderId="47" xfId="152" applyFont="1" applyFill="1" applyBorder="1" applyAlignment="1" applyProtection="1">
      <alignment horizontal="center" vertical="center" wrapText="1"/>
      <protection locked="0"/>
    </xf>
    <xf numFmtId="0" fontId="18" fillId="4" borderId="48" xfId="152" applyFont="1" applyFill="1" applyBorder="1" applyAlignment="1" applyProtection="1">
      <alignment horizontal="center" vertical="center" wrapText="1"/>
      <protection locked="0"/>
    </xf>
    <xf numFmtId="0" fontId="95" fillId="63" borderId="15" xfId="0" applyFont="1" applyFill="1" applyBorder="1" applyAlignment="1">
      <alignment horizontal="center" vertical="center" wrapText="1"/>
    </xf>
    <xf numFmtId="0" fontId="95" fillId="63" borderId="2" xfId="0" applyFont="1" applyFill="1" applyBorder="1" applyAlignment="1">
      <alignment horizontal="center" vertical="center" wrapText="1"/>
    </xf>
    <xf numFmtId="3" fontId="18" fillId="4" borderId="49" xfId="152" applyNumberFormat="1" applyFont="1" applyFill="1" applyBorder="1" applyAlignment="1" applyProtection="1">
      <alignment horizontal="center" vertical="center" wrapText="1"/>
      <protection locked="0"/>
    </xf>
    <xf numFmtId="0" fontId="18" fillId="4" borderId="50" xfId="152" applyFont="1" applyFill="1" applyBorder="1" applyAlignment="1" applyProtection="1">
      <alignment horizontal="center" vertical="center" wrapText="1"/>
      <protection locked="0"/>
    </xf>
    <xf numFmtId="172" fontId="18" fillId="4" borderId="50" xfId="152" applyNumberFormat="1" applyFont="1" applyFill="1" applyBorder="1" applyAlignment="1" applyProtection="1">
      <alignment horizontal="center" vertical="center" wrapText="1"/>
      <protection locked="0"/>
    </xf>
    <xf numFmtId="3" fontId="18" fillId="4" borderId="51" xfId="152" applyNumberFormat="1" applyFont="1" applyFill="1" applyBorder="1" applyAlignment="1" applyProtection="1">
      <alignment horizontal="center" vertical="center" wrapText="1"/>
      <protection locked="0"/>
    </xf>
    <xf numFmtId="3" fontId="18" fillId="65" borderId="14" xfId="152" applyNumberFormat="1" applyFont="1" applyFill="1" applyBorder="1" applyAlignment="1">
      <alignment horizontal="center" vertical="center" wrapText="1"/>
    </xf>
    <xf numFmtId="3" fontId="18" fillId="65" borderId="2" xfId="152" applyNumberFormat="1" applyFont="1" applyFill="1" applyBorder="1" applyAlignment="1">
      <alignment horizontal="center" vertical="center" wrapText="1"/>
    </xf>
    <xf numFmtId="3" fontId="18" fillId="4" borderId="52" xfId="152" applyNumberFormat="1" applyFont="1" applyFill="1" applyBorder="1" applyAlignment="1" applyProtection="1">
      <alignment horizontal="center" vertical="center" wrapText="1"/>
      <protection locked="0"/>
    </xf>
    <xf numFmtId="0" fontId="18" fillId="4" borderId="26" xfId="152" applyFont="1" applyFill="1" applyBorder="1" applyAlignment="1" applyProtection="1">
      <alignment horizontal="center" vertical="center" wrapText="1"/>
      <protection locked="0"/>
    </xf>
    <xf numFmtId="172" fontId="18" fillId="4" borderId="26" xfId="152" applyNumberFormat="1" applyFont="1" applyFill="1" applyBorder="1" applyAlignment="1" applyProtection="1">
      <alignment horizontal="center" vertical="center" wrapText="1"/>
      <protection locked="0"/>
    </xf>
    <xf numFmtId="3" fontId="18" fillId="4" borderId="53" xfId="152" applyNumberFormat="1" applyFont="1" applyFill="1" applyBorder="1" applyAlignment="1" applyProtection="1">
      <alignment horizontal="center" vertical="center" wrapText="1"/>
      <protection locked="0"/>
    </xf>
    <xf numFmtId="3" fontId="18" fillId="4" borderId="54" xfId="152" applyNumberFormat="1" applyFont="1" applyFill="1" applyBorder="1" applyAlignment="1" applyProtection="1">
      <alignment horizontal="center" vertical="center" wrapText="1"/>
      <protection locked="0"/>
    </xf>
    <xf numFmtId="0" fontId="18" fillId="4" borderId="55" xfId="152" applyFont="1" applyFill="1" applyBorder="1" applyAlignment="1" applyProtection="1">
      <alignment horizontal="center" vertical="center" wrapText="1"/>
      <protection locked="0"/>
    </xf>
    <xf numFmtId="172" fontId="18" fillId="4" borderId="55" xfId="152" applyNumberFormat="1" applyFont="1" applyFill="1" applyBorder="1" applyAlignment="1" applyProtection="1">
      <alignment horizontal="center" vertical="center" wrapText="1"/>
      <protection locked="0"/>
    </xf>
    <xf numFmtId="3" fontId="18" fillId="4" borderId="56" xfId="152" applyNumberFormat="1" applyFont="1" applyFill="1" applyBorder="1" applyAlignment="1" applyProtection="1">
      <alignment horizontal="center" vertical="center" wrapText="1"/>
      <protection locked="0"/>
    </xf>
    <xf numFmtId="0" fontId="80" fillId="0" borderId="0" xfId="0" applyFont="1" applyAlignment="1">
      <alignment vertical="center"/>
    </xf>
    <xf numFmtId="0" fontId="0" fillId="60" borderId="0" xfId="0" applyFill="1" applyAlignment="1">
      <alignment vertical="center"/>
    </xf>
    <xf numFmtId="0" fontId="0" fillId="60" borderId="0" xfId="0" applyFill="1" applyAlignment="1">
      <alignment horizontal="center" vertical="center"/>
    </xf>
    <xf numFmtId="0" fontId="0" fillId="68" borderId="0" xfId="0" applyFill="1" applyAlignment="1">
      <alignment vertical="center"/>
    </xf>
    <xf numFmtId="14" fontId="46" fillId="0" borderId="26" xfId="0" applyNumberFormat="1" applyFont="1" applyBorder="1" applyAlignment="1" applyProtection="1">
      <alignment horizontal="left" vertical="center"/>
      <protection locked="0"/>
    </xf>
    <xf numFmtId="0" fontId="96" fillId="0" borderId="0" xfId="0" applyFont="1" applyAlignment="1">
      <alignment vertical="center" wrapText="1"/>
    </xf>
    <xf numFmtId="0" fontId="46" fillId="4" borderId="0" xfId="0" applyFont="1" applyFill="1" applyAlignment="1">
      <alignment horizontal="center" vertical="center"/>
    </xf>
    <xf numFmtId="0" fontId="80" fillId="4" borderId="0" xfId="0" applyFont="1" applyFill="1" applyAlignment="1">
      <alignment horizontal="center" vertical="center"/>
    </xf>
    <xf numFmtId="0" fontId="0" fillId="0" borderId="2" xfId="0" applyBorder="1" applyAlignment="1">
      <alignment vertical="center"/>
    </xf>
    <xf numFmtId="0" fontId="46" fillId="0" borderId="2" xfId="0" applyFont="1" applyBorder="1" applyAlignment="1">
      <alignment horizontal="left" vertical="center"/>
    </xf>
    <xf numFmtId="0" fontId="46" fillId="0" borderId="2" xfId="0" applyFont="1" applyBorder="1" applyAlignment="1">
      <alignment horizontal="left" vertical="center" wrapText="1"/>
    </xf>
    <xf numFmtId="0" fontId="0" fillId="0" borderId="57" xfId="0" applyBorder="1" applyAlignment="1">
      <alignment vertical="center"/>
    </xf>
    <xf numFmtId="0" fontId="0" fillId="0" borderId="58" xfId="0" applyBorder="1" applyAlignment="1">
      <alignment vertical="center"/>
    </xf>
    <xf numFmtId="0" fontId="0" fillId="0" borderId="59" xfId="0" applyBorder="1" applyAlignment="1">
      <alignment vertical="center"/>
    </xf>
    <xf numFmtId="0" fontId="0" fillId="0" borderId="25" xfId="0" applyBorder="1" applyAlignment="1">
      <alignment vertical="center" wrapText="1"/>
    </xf>
    <xf numFmtId="0" fontId="0" fillId="0" borderId="60" xfId="0" applyBorder="1" applyAlignment="1">
      <alignment vertical="center"/>
    </xf>
    <xf numFmtId="0" fontId="0" fillId="0" borderId="25" xfId="0" applyBorder="1" applyAlignment="1">
      <alignment vertical="center"/>
    </xf>
    <xf numFmtId="0" fontId="0" fillId="0" borderId="61" xfId="0" applyBorder="1" applyAlignment="1">
      <alignment vertical="center"/>
    </xf>
    <xf numFmtId="0" fontId="0" fillId="0" borderId="32" xfId="0" applyBorder="1" applyAlignment="1">
      <alignment vertical="center"/>
    </xf>
    <xf numFmtId="0" fontId="0" fillId="0" borderId="62" xfId="0" applyBorder="1" applyAlignment="1">
      <alignment vertical="center"/>
    </xf>
    <xf numFmtId="0" fontId="20" fillId="0" borderId="0" xfId="0" applyFont="1" applyAlignment="1">
      <alignment vertical="center"/>
    </xf>
    <xf numFmtId="14" fontId="20" fillId="63" borderId="2" xfId="0" applyNumberFormat="1" applyFont="1" applyFill="1" applyBorder="1" applyAlignment="1">
      <alignment vertical="center" wrapText="1"/>
    </xf>
    <xf numFmtId="14" fontId="0" fillId="0" borderId="2" xfId="0" applyNumberFormat="1" applyBorder="1" applyAlignment="1">
      <alignment vertical="center"/>
    </xf>
    <xf numFmtId="0" fontId="0" fillId="0" borderId="2" xfId="0" applyBorder="1" applyAlignment="1">
      <alignment vertical="center" wrapText="1"/>
    </xf>
    <xf numFmtId="0" fontId="98" fillId="0" borderId="2" xfId="0" applyFont="1" applyBorder="1" applyAlignment="1">
      <alignment vertical="center" wrapText="1"/>
    </xf>
    <xf numFmtId="14" fontId="20" fillId="63" borderId="14" xfId="0" applyNumberFormat="1" applyFont="1" applyFill="1" applyBorder="1" applyAlignment="1">
      <alignment horizontal="left" vertical="center" wrapText="1"/>
    </xf>
    <xf numFmtId="14" fontId="16" fillId="0" borderId="26" xfId="0" applyNumberFormat="1" applyFont="1" applyBorder="1" applyAlignment="1" applyProtection="1">
      <alignment horizontal="left" vertical="center"/>
      <protection locked="0"/>
    </xf>
    <xf numFmtId="0" fontId="2" fillId="4" borderId="0" xfId="2233" applyFont="1" applyFill="1"/>
    <xf numFmtId="0" fontId="5" fillId="64" borderId="32" xfId="2233" applyFill="1" applyBorder="1"/>
    <xf numFmtId="0" fontId="46" fillId="4" borderId="2" xfId="2233" applyFont="1" applyFill="1" applyBorder="1" applyAlignment="1">
      <alignment horizontal="left" vertical="center"/>
    </xf>
    <xf numFmtId="14" fontId="46" fillId="4" borderId="2" xfId="2233" applyNumberFormat="1" applyFont="1" applyFill="1" applyBorder="1" applyAlignment="1">
      <alignment horizontal="left" vertical="center"/>
    </xf>
    <xf numFmtId="0" fontId="46" fillId="4" borderId="2" xfId="2233" applyFont="1" applyFill="1" applyBorder="1" applyAlignment="1">
      <alignment horizontal="left" vertical="center" wrapText="1"/>
    </xf>
    <xf numFmtId="14" fontId="46" fillId="4" borderId="26" xfId="0" applyNumberFormat="1" applyFont="1" applyFill="1" applyBorder="1" applyAlignment="1" applyProtection="1">
      <alignment horizontal="left" vertical="center"/>
      <protection locked="0"/>
    </xf>
    <xf numFmtId="0" fontId="74" fillId="62" borderId="2" xfId="0" applyFont="1" applyFill="1" applyBorder="1" applyAlignment="1">
      <alignment horizontal="center" vertical="center" wrapText="1"/>
    </xf>
    <xf numFmtId="0" fontId="46" fillId="4" borderId="0" xfId="0" applyFont="1" applyFill="1" applyAlignment="1">
      <alignment vertical="center" wrapText="1"/>
    </xf>
    <xf numFmtId="0" fontId="16" fillId="4" borderId="2" xfId="137" applyNumberFormat="1" applyFont="1" applyFill="1" applyBorder="1" applyAlignment="1">
      <alignment horizontal="left" vertical="center"/>
    </xf>
    <xf numFmtId="0" fontId="0" fillId="4" borderId="0" xfId="0" applyFill="1" applyAlignment="1">
      <alignment vertical="center"/>
    </xf>
    <xf numFmtId="0" fontId="15" fillId="4" borderId="0" xfId="5" applyFill="1" applyAlignment="1">
      <alignment vertical="center" wrapText="1"/>
    </xf>
    <xf numFmtId="0" fontId="0" fillId="4" borderId="2" xfId="0" applyFill="1" applyBorder="1" applyAlignment="1">
      <alignment vertical="center" wrapText="1"/>
    </xf>
    <xf numFmtId="0" fontId="16" fillId="4" borderId="2" xfId="137" applyNumberFormat="1" applyFont="1" applyFill="1" applyBorder="1" applyAlignment="1">
      <alignment horizontal="left" vertical="center" wrapText="1"/>
    </xf>
    <xf numFmtId="14" fontId="46" fillId="4" borderId="2" xfId="2233" applyNumberFormat="1" applyFont="1" applyFill="1" applyBorder="1" applyAlignment="1">
      <alignment horizontal="left" vertical="center" wrapText="1"/>
    </xf>
    <xf numFmtId="0" fontId="46" fillId="4" borderId="2" xfId="2233" quotePrefix="1" applyFont="1" applyFill="1" applyBorder="1" applyAlignment="1">
      <alignment horizontal="left" vertical="center" wrapText="1"/>
    </xf>
    <xf numFmtId="0" fontId="20" fillId="0" borderId="2" xfId="0" applyFont="1" applyBorder="1" applyAlignment="1">
      <alignment vertical="center"/>
    </xf>
    <xf numFmtId="0" fontId="16" fillId="4" borderId="15" xfId="137" applyNumberFormat="1" applyFont="1" applyFill="1" applyBorder="1" applyAlignment="1">
      <alignment horizontal="left" vertical="center" wrapText="1"/>
    </xf>
    <xf numFmtId="0" fontId="46" fillId="0" borderId="2" xfId="2233" applyFont="1" applyBorder="1" applyAlignment="1">
      <alignment horizontal="left" vertical="center" wrapText="1"/>
    </xf>
    <xf numFmtId="0" fontId="20" fillId="63" borderId="13" xfId="0" applyFont="1" applyFill="1" applyBorder="1" applyAlignment="1">
      <alignment horizontal="left" vertical="center"/>
    </xf>
    <xf numFmtId="0" fontId="20" fillId="63" borderId="14" xfId="0" applyFont="1" applyFill="1" applyBorder="1" applyAlignment="1">
      <alignment horizontal="left" vertical="center"/>
    </xf>
    <xf numFmtId="0" fontId="16" fillId="4" borderId="0" xfId="2233" applyFont="1" applyFill="1" applyAlignment="1">
      <alignment horizontal="left" vertical="center"/>
    </xf>
    <xf numFmtId="0" fontId="16" fillId="0" borderId="32" xfId="0" applyFont="1" applyBorder="1" applyAlignment="1">
      <alignment horizontal="left" vertical="center"/>
    </xf>
    <xf numFmtId="0" fontId="46" fillId="4" borderId="0" xfId="2233" applyFont="1" applyFill="1" applyAlignment="1">
      <alignment horizontal="left" vertical="center"/>
    </xf>
    <xf numFmtId="0" fontId="46" fillId="0" borderId="2" xfId="0" quotePrefix="1" applyFont="1" applyBorder="1" applyAlignment="1">
      <alignment horizontal="left" vertical="center" wrapText="1"/>
    </xf>
    <xf numFmtId="14" fontId="46" fillId="0" borderId="2" xfId="0" applyNumberFormat="1" applyFont="1" applyBorder="1" applyAlignment="1">
      <alignment horizontal="left" vertical="center" wrapText="1"/>
    </xf>
    <xf numFmtId="0" fontId="70" fillId="59" borderId="25" xfId="137" applyNumberFormat="1" applyFont="1" applyFill="1" applyBorder="1" applyAlignment="1">
      <alignment horizontal="center" vertical="center"/>
    </xf>
    <xf numFmtId="0" fontId="70" fillId="0" borderId="60" xfId="137" applyNumberFormat="1" applyFont="1" applyBorder="1" applyAlignment="1">
      <alignment horizontal="left" vertical="center"/>
    </xf>
    <xf numFmtId="0" fontId="70" fillId="58" borderId="25" xfId="137" applyNumberFormat="1" applyFont="1" applyFill="1" applyBorder="1" applyAlignment="1">
      <alignment horizontal="center" vertical="center"/>
    </xf>
    <xf numFmtId="0" fontId="70" fillId="60" borderId="61" xfId="137" applyNumberFormat="1" applyFont="1" applyFill="1" applyBorder="1" applyAlignment="1">
      <alignment horizontal="center" vertical="center"/>
    </xf>
    <xf numFmtId="0" fontId="70" fillId="0" borderId="62" xfId="137" applyNumberFormat="1" applyFont="1" applyBorder="1" applyAlignment="1">
      <alignment horizontal="left" vertical="center"/>
    </xf>
    <xf numFmtId="0" fontId="73" fillId="62" borderId="0" xfId="0" applyFont="1" applyFill="1" applyAlignment="1">
      <alignment vertical="center"/>
    </xf>
    <xf numFmtId="0" fontId="20" fillId="63" borderId="57" xfId="0" applyFont="1" applyFill="1" applyBorder="1" applyAlignment="1">
      <alignment horizontal="left" vertical="center" wrapText="1"/>
    </xf>
    <xf numFmtId="0" fontId="20" fillId="63" borderId="13" xfId="0" applyFont="1" applyFill="1" applyBorder="1" applyAlignment="1">
      <alignment vertical="center"/>
    </xf>
    <xf numFmtId="0" fontId="87" fillId="0" borderId="0" xfId="0" applyFont="1" applyAlignment="1">
      <alignment vertical="center"/>
    </xf>
    <xf numFmtId="0" fontId="73" fillId="61" borderId="0" xfId="0" applyFont="1" applyFill="1" applyAlignment="1">
      <alignment vertical="center"/>
    </xf>
    <xf numFmtId="0" fontId="91" fillId="4" borderId="2" xfId="0" applyFont="1" applyFill="1" applyBorder="1" applyAlignment="1">
      <alignment vertical="center" wrapText="1"/>
    </xf>
    <xf numFmtId="0" fontId="66" fillId="61" borderId="0" xfId="0" applyFont="1" applyFill="1" applyAlignment="1">
      <alignment vertical="center"/>
    </xf>
    <xf numFmtId="0" fontId="20" fillId="63" borderId="3" xfId="0" applyFont="1" applyFill="1" applyBorder="1" applyAlignment="1">
      <alignment vertical="center"/>
    </xf>
    <xf numFmtId="0" fontId="15" fillId="0" borderId="0" xfId="87" applyAlignment="1">
      <alignment vertical="center"/>
    </xf>
    <xf numFmtId="3" fontId="0" fillId="3" borderId="2" xfId="0" applyNumberFormat="1" applyFill="1" applyBorder="1" applyAlignment="1">
      <alignment horizontal="center" vertical="center"/>
    </xf>
    <xf numFmtId="168" fontId="0" fillId="3" borderId="2" xfId="242" applyNumberFormat="1" applyFont="1" applyFill="1" applyBorder="1" applyAlignment="1" applyProtection="1">
      <alignment horizontal="center" vertical="center"/>
    </xf>
    <xf numFmtId="0" fontId="0" fillId="67" borderId="13" xfId="0" applyFill="1" applyBorder="1" applyAlignment="1">
      <alignment horizontal="center" vertical="center"/>
    </xf>
    <xf numFmtId="0" fontId="0" fillId="67" borderId="14" xfId="0" applyFill="1" applyBorder="1" applyAlignment="1">
      <alignment horizontal="center" vertical="center"/>
    </xf>
    <xf numFmtId="0" fontId="0" fillId="67" borderId="2" xfId="0" applyFill="1" applyBorder="1" applyAlignment="1">
      <alignment vertical="center"/>
    </xf>
    <xf numFmtId="0" fontId="0" fillId="67" borderId="2" xfId="0" quotePrefix="1" applyFill="1" applyBorder="1" applyAlignment="1">
      <alignment vertical="center"/>
    </xf>
    <xf numFmtId="0" fontId="0" fillId="67" borderId="2" xfId="242" applyNumberFormat="1" applyFont="1" applyFill="1" applyBorder="1" applyAlignment="1" applyProtection="1">
      <alignment vertical="center"/>
    </xf>
    <xf numFmtId="0" fontId="6" fillId="0" borderId="0" xfId="1495" applyAlignment="1">
      <alignment vertical="center"/>
    </xf>
    <xf numFmtId="0" fontId="46" fillId="0" borderId="0" xfId="0" applyFont="1" applyAlignment="1">
      <alignment vertical="center"/>
    </xf>
    <xf numFmtId="0" fontId="46" fillId="63" borderId="59" xfId="0" applyFont="1" applyFill="1" applyBorder="1" applyAlignment="1">
      <alignment vertical="center"/>
    </xf>
    <xf numFmtId="0" fontId="0" fillId="0" borderId="26" xfId="0" applyBorder="1" applyAlignment="1" applyProtection="1">
      <alignment vertical="center"/>
      <protection locked="0"/>
    </xf>
    <xf numFmtId="0" fontId="80" fillId="4" borderId="0" xfId="0" applyFont="1" applyFill="1" applyAlignment="1" applyProtection="1">
      <alignment horizontal="center" vertical="center"/>
      <protection locked="0"/>
    </xf>
    <xf numFmtId="0" fontId="16" fillId="0" borderId="64" xfId="0" applyFont="1" applyBorder="1" applyAlignment="1" applyProtection="1">
      <alignment horizontal="left" vertical="center"/>
      <protection locked="0"/>
    </xf>
    <xf numFmtId="0" fontId="16" fillId="0" borderId="65" xfId="0" applyFont="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66" xfId="0" applyFont="1" applyBorder="1" applyAlignment="1" applyProtection="1">
      <alignment horizontal="left" vertical="center"/>
      <protection locked="0"/>
    </xf>
    <xf numFmtId="0" fontId="0" fillId="0" borderId="34" xfId="0" applyBorder="1" applyAlignment="1" applyProtection="1">
      <alignment vertical="center"/>
      <protection locked="0"/>
    </xf>
    <xf numFmtId="0" fontId="20" fillId="63" borderId="14" xfId="0" applyFont="1" applyFill="1" applyBorder="1" applyAlignment="1">
      <alignment vertical="center"/>
    </xf>
    <xf numFmtId="0" fontId="107" fillId="0" borderId="0" xfId="0" applyFont="1" applyAlignment="1">
      <alignment vertical="center"/>
    </xf>
    <xf numFmtId="0" fontId="108" fillId="0" borderId="0" xfId="0" applyFont="1" applyAlignment="1">
      <alignment vertical="center"/>
    </xf>
    <xf numFmtId="0" fontId="109" fillId="62" borderId="0" xfId="0" applyFont="1" applyFill="1" applyAlignment="1">
      <alignment vertical="center"/>
    </xf>
    <xf numFmtId="0" fontId="110" fillId="0" borderId="0" xfId="0" applyFont="1" applyAlignment="1">
      <alignment vertical="center"/>
    </xf>
    <xf numFmtId="0" fontId="111" fillId="61" borderId="0" xfId="0" applyFont="1" applyFill="1" applyAlignment="1">
      <alignment vertical="center"/>
    </xf>
    <xf numFmtId="0" fontId="51" fillId="63" borderId="2" xfId="0" applyFont="1" applyFill="1" applyBorder="1" applyAlignment="1">
      <alignment vertical="center" wrapText="1"/>
    </xf>
    <xf numFmtId="0" fontId="51" fillId="0" borderId="0" xfId="0" applyFont="1" applyAlignment="1">
      <alignment vertical="center" wrapText="1"/>
    </xf>
    <xf numFmtId="14" fontId="107" fillId="0" borderId="29" xfId="0" applyNumberFormat="1" applyFont="1" applyBorder="1" applyAlignment="1" applyProtection="1">
      <alignment horizontal="center" vertical="center"/>
      <protection locked="0"/>
    </xf>
    <xf numFmtId="0" fontId="112" fillId="0" borderId="0" xfId="87" applyFont="1" applyAlignment="1">
      <alignment vertical="center"/>
    </xf>
    <xf numFmtId="0" fontId="51" fillId="65" borderId="2" xfId="0" applyFont="1" applyFill="1" applyBorder="1" applyAlignment="1" applyProtection="1">
      <alignment vertical="center" wrapText="1"/>
      <protection locked="0"/>
    </xf>
    <xf numFmtId="0" fontId="107" fillId="0" borderId="67" xfId="0" applyFont="1" applyBorder="1" applyAlignment="1" applyProtection="1">
      <alignment vertical="center" wrapText="1"/>
      <protection locked="0"/>
    </xf>
    <xf numFmtId="3" fontId="115" fillId="4" borderId="0" xfId="152" applyNumberFormat="1" applyFont="1" applyFill="1" applyAlignment="1">
      <alignment horizontal="center" vertical="center" wrapText="1"/>
    </xf>
    <xf numFmtId="3" fontId="115" fillId="4" borderId="0" xfId="152" applyNumberFormat="1" applyFont="1" applyFill="1" applyAlignment="1">
      <alignment horizontal="left" vertical="center" wrapText="1"/>
    </xf>
    <xf numFmtId="0" fontId="51" fillId="63" borderId="15" xfId="0" applyFont="1" applyFill="1" applyBorder="1" applyAlignment="1">
      <alignment vertical="center" wrapText="1"/>
    </xf>
    <xf numFmtId="0" fontId="51" fillId="63" borderId="2" xfId="0" applyFont="1" applyFill="1" applyBorder="1" applyAlignment="1">
      <alignment horizontal="center" vertical="center" wrapText="1"/>
    </xf>
    <xf numFmtId="0" fontId="107" fillId="65" borderId="2" xfId="0" applyFont="1" applyFill="1" applyBorder="1" applyAlignment="1">
      <alignment horizontal="left" vertical="center" wrapText="1"/>
    </xf>
    <xf numFmtId="2" fontId="107" fillId="65" borderId="2" xfId="0" applyNumberFormat="1" applyFont="1" applyFill="1" applyBorder="1" applyAlignment="1">
      <alignment horizontal="center" vertical="center" wrapText="1"/>
    </xf>
    <xf numFmtId="3" fontId="107" fillId="65" borderId="2" xfId="0" applyNumberFormat="1" applyFont="1" applyFill="1" applyBorder="1" applyAlignment="1">
      <alignment horizontal="center" vertical="center" wrapText="1"/>
    </xf>
    <xf numFmtId="2" fontId="107" fillId="0" borderId="0" xfId="0" applyNumberFormat="1" applyFont="1" applyAlignment="1">
      <alignment horizontal="center" vertical="center" wrapText="1"/>
    </xf>
    <xf numFmtId="3" fontId="107" fillId="65" borderId="2" xfId="0" applyNumberFormat="1" applyFont="1" applyFill="1" applyBorder="1" applyAlignment="1">
      <alignment horizontal="center" vertical="center"/>
    </xf>
    <xf numFmtId="0" fontId="51" fillId="0" borderId="0" xfId="0" applyFont="1" applyAlignment="1">
      <alignment horizontal="left" vertical="center" wrapText="1"/>
    </xf>
    <xf numFmtId="3" fontId="107" fillId="0" borderId="0" xfId="0" applyNumberFormat="1" applyFont="1" applyAlignment="1">
      <alignment horizontal="center" vertical="center"/>
    </xf>
    <xf numFmtId="0" fontId="117" fillId="0" borderId="0" xfId="0" applyFont="1" applyAlignment="1">
      <alignment horizontal="center" vertical="center" wrapText="1"/>
    </xf>
    <xf numFmtId="0" fontId="117" fillId="0" borderId="0" xfId="0" applyFont="1" applyAlignment="1">
      <alignment horizontal="left" vertical="center" wrapText="1"/>
    </xf>
    <xf numFmtId="0" fontId="118" fillId="0" borderId="0" xfId="0" applyFont="1" applyAlignment="1">
      <alignment horizontal="center" vertical="center" wrapText="1"/>
    </xf>
    <xf numFmtId="0" fontId="119" fillId="0" borderId="68" xfId="0" applyFont="1" applyBorder="1" applyAlignment="1" applyProtection="1">
      <alignment vertical="center" wrapText="1"/>
      <protection locked="0"/>
    </xf>
    <xf numFmtId="0" fontId="120" fillId="0" borderId="69" xfId="0" applyFont="1" applyBorder="1" applyAlignment="1" applyProtection="1">
      <alignment horizontal="right" vertical="center" wrapText="1"/>
      <protection locked="0"/>
    </xf>
    <xf numFmtId="0" fontId="112" fillId="65" borderId="2" xfId="0" applyFont="1" applyFill="1" applyBorder="1" applyAlignment="1">
      <alignment vertical="center" wrapText="1"/>
    </xf>
    <xf numFmtId="0" fontId="119" fillId="0" borderId="0" xfId="0" applyFont="1" applyAlignment="1">
      <alignment vertical="center" wrapText="1"/>
    </xf>
    <xf numFmtId="0" fontId="107" fillId="0" borderId="67" xfId="0" applyFont="1" applyBorder="1" applyAlignment="1" applyProtection="1">
      <alignment vertical="center"/>
      <protection locked="0"/>
    </xf>
    <xf numFmtId="0" fontId="120" fillId="0" borderId="70" xfId="0" applyFont="1" applyBorder="1" applyAlignment="1" applyProtection="1">
      <alignment horizontal="right" vertical="center" wrapText="1"/>
      <protection locked="0"/>
    </xf>
    <xf numFmtId="0" fontId="121" fillId="0" borderId="0" xfId="0" applyFont="1" applyAlignment="1">
      <alignment vertical="center" wrapText="1"/>
    </xf>
    <xf numFmtId="0" fontId="107" fillId="0" borderId="71" xfId="0" applyFont="1" applyBorder="1" applyAlignment="1" applyProtection="1">
      <alignment vertical="center"/>
      <protection locked="0"/>
    </xf>
    <xf numFmtId="0" fontId="120" fillId="0" borderId="72" xfId="0" applyFont="1" applyBorder="1" applyAlignment="1" applyProtection="1">
      <alignment horizontal="right" vertical="center" wrapText="1"/>
      <protection locked="0"/>
    </xf>
    <xf numFmtId="0" fontId="116" fillId="65" borderId="13" xfId="0" applyFont="1" applyFill="1" applyBorder="1" applyAlignment="1">
      <alignment vertical="center" wrapText="1"/>
    </xf>
    <xf numFmtId="0" fontId="107" fillId="65" borderId="3" xfId="0" applyFont="1" applyFill="1" applyBorder="1" applyAlignment="1">
      <alignment vertical="center"/>
    </xf>
    <xf numFmtId="0" fontId="121" fillId="65" borderId="14" xfId="0" applyFont="1" applyFill="1" applyBorder="1" applyAlignment="1">
      <alignment vertical="center" wrapText="1"/>
    </xf>
    <xf numFmtId="0" fontId="122" fillId="69" borderId="2" xfId="0" applyFont="1" applyFill="1" applyBorder="1" applyAlignment="1">
      <alignment horizontal="right" vertical="center" wrapText="1"/>
    </xf>
    <xf numFmtId="0" fontId="119" fillId="0" borderId="0" xfId="0" applyFont="1" applyAlignment="1">
      <alignment horizontal="left" vertical="center" wrapText="1"/>
    </xf>
    <xf numFmtId="0" fontId="107" fillId="0" borderId="0" xfId="0" applyFont="1" applyAlignment="1">
      <alignment horizontal="center" vertical="center"/>
    </xf>
    <xf numFmtId="0" fontId="116" fillId="65" borderId="2" xfId="0" applyFont="1" applyFill="1" applyBorder="1" applyAlignment="1">
      <alignment vertical="center" wrapText="1"/>
    </xf>
    <xf numFmtId="0" fontId="118" fillId="63" borderId="2" xfId="0" applyFont="1" applyFill="1" applyBorder="1" applyAlignment="1">
      <alignment horizontal="center" vertical="center" wrapText="1"/>
    </xf>
    <xf numFmtId="0" fontId="107" fillId="0" borderId="2" xfId="0" applyFont="1" applyBorder="1" applyAlignment="1">
      <alignment vertical="center"/>
    </xf>
    <xf numFmtId="0" fontId="125" fillId="0" borderId="2" xfId="243" applyFont="1" applyBorder="1" applyAlignment="1">
      <alignment vertical="center" wrapText="1"/>
    </xf>
    <xf numFmtId="0" fontId="125" fillId="0" borderId="2" xfId="243" applyFont="1" applyBorder="1" applyAlignment="1">
      <alignment horizontal="center" vertical="center" wrapText="1"/>
    </xf>
    <xf numFmtId="0" fontId="120" fillId="0" borderId="2" xfId="243" applyFont="1" applyBorder="1" applyAlignment="1">
      <alignment vertical="center" wrapText="1"/>
    </xf>
    <xf numFmtId="0" fontId="120" fillId="0" borderId="2" xfId="243" applyFont="1" applyBorder="1" applyAlignment="1">
      <alignment horizontal="center" vertical="center" wrapText="1"/>
    </xf>
    <xf numFmtId="0" fontId="120" fillId="0" borderId="0" xfId="243" applyFont="1" applyAlignment="1">
      <alignment vertical="center" wrapText="1"/>
    </xf>
    <xf numFmtId="0" fontId="120" fillId="0" borderId="0" xfId="243" applyFont="1" applyAlignment="1">
      <alignment horizontal="center" vertical="center" wrapText="1"/>
    </xf>
    <xf numFmtId="0" fontId="118" fillId="63" borderId="14" xfId="0" applyFont="1" applyFill="1" applyBorder="1" applyAlignment="1">
      <alignment horizontal="center" vertical="center" wrapText="1"/>
    </xf>
    <xf numFmtId="0" fontId="120" fillId="0" borderId="2" xfId="243" applyFont="1" applyBorder="1" applyAlignment="1">
      <alignment vertical="center"/>
    </xf>
    <xf numFmtId="0" fontId="120" fillId="0" borderId="0" xfId="243" applyFont="1" applyAlignment="1">
      <alignment vertical="center"/>
    </xf>
    <xf numFmtId="0" fontId="120" fillId="0" borderId="0" xfId="243" applyFont="1" applyAlignment="1">
      <alignment horizontal="center" vertical="center"/>
    </xf>
    <xf numFmtId="0" fontId="118" fillId="63" borderId="13" xfId="0" applyFont="1" applyFill="1" applyBorder="1" applyAlignment="1">
      <alignment horizontal="center" vertical="center" wrapText="1"/>
    </xf>
    <xf numFmtId="0" fontId="125" fillId="0" borderId="0" xfId="243" applyFont="1" applyAlignment="1">
      <alignment vertical="center"/>
    </xf>
    <xf numFmtId="14" fontId="107" fillId="65" borderId="2" xfId="0" applyNumberFormat="1" applyFont="1" applyFill="1" applyBorder="1" applyAlignment="1">
      <alignment horizontal="center" vertical="center"/>
    </xf>
    <xf numFmtId="1" fontId="107" fillId="65" borderId="2" xfId="0" applyNumberFormat="1" applyFont="1" applyFill="1" applyBorder="1" applyAlignment="1">
      <alignment horizontal="center" vertical="center"/>
    </xf>
    <xf numFmtId="0" fontId="16" fillId="0" borderId="26" xfId="242" applyNumberFormat="1" applyFont="1" applyFill="1" applyBorder="1" applyAlignment="1" applyProtection="1">
      <alignment horizontal="left" vertical="center"/>
      <protection locked="0"/>
    </xf>
    <xf numFmtId="3" fontId="1" fillId="3" borderId="2" xfId="152" applyNumberFormat="1" applyFont="1" applyFill="1" applyBorder="1" applyAlignment="1">
      <alignment horizontal="center" vertical="center" wrapText="1"/>
    </xf>
    <xf numFmtId="168" fontId="1" fillId="3" borderId="2" xfId="242" applyNumberFormat="1" applyFont="1" applyFill="1" applyBorder="1" applyAlignment="1" applyProtection="1">
      <alignment horizontal="center" vertical="center" wrapText="1"/>
    </xf>
    <xf numFmtId="167" fontId="2" fillId="0" borderId="0" xfId="137" applyFont="1" applyAlignment="1">
      <alignment vertical="center"/>
    </xf>
    <xf numFmtId="14" fontId="0" fillId="0" borderId="0" xfId="0" applyNumberFormat="1"/>
    <xf numFmtId="0" fontId="0" fillId="0" borderId="0" xfId="0" applyAlignment="1">
      <alignment horizontal="center" vertical="center"/>
    </xf>
    <xf numFmtId="0" fontId="73" fillId="62" borderId="0" xfId="0" applyFont="1" applyFill="1" applyAlignment="1">
      <alignment horizontal="left" vertical="center" wrapText="1"/>
    </xf>
    <xf numFmtId="0" fontId="0" fillId="4" borderId="0" xfId="0" applyFill="1"/>
    <xf numFmtId="0" fontId="76" fillId="70" borderId="2" xfId="0" applyFont="1" applyFill="1" applyBorder="1" applyAlignment="1">
      <alignment horizontal="center" vertical="center" wrapText="1"/>
    </xf>
    <xf numFmtId="0" fontId="19" fillId="70" borderId="2" xfId="0" applyFont="1" applyFill="1" applyBorder="1" applyAlignment="1">
      <alignment horizontal="center" vertical="center" wrapText="1"/>
    </xf>
    <xf numFmtId="0" fontId="126" fillId="62" borderId="0" xfId="0" applyFont="1" applyFill="1" applyAlignment="1">
      <alignment horizontal="left" vertical="center" wrapText="1"/>
    </xf>
    <xf numFmtId="14" fontId="0" fillId="0" borderId="2" xfId="0" applyNumberFormat="1" applyBorder="1" applyAlignment="1" applyProtection="1">
      <alignment horizontal="center" vertical="center"/>
      <protection locked="0"/>
    </xf>
    <xf numFmtId="14" fontId="18" fillId="65" borderId="2" xfId="152" applyNumberFormat="1" applyFont="1" applyFill="1" applyBorder="1" applyAlignment="1">
      <alignment horizontal="center" vertical="center" wrapText="1"/>
    </xf>
    <xf numFmtId="14" fontId="0" fillId="0" borderId="0" xfId="0" applyNumberFormat="1" applyAlignment="1" applyProtection="1">
      <alignment horizontal="center" vertical="center"/>
      <protection locked="0"/>
    </xf>
    <xf numFmtId="14" fontId="18" fillId="71" borderId="0" xfId="152" applyNumberFormat="1" applyFont="1" applyFill="1" applyAlignment="1">
      <alignment horizontal="center" vertical="center" wrapText="1"/>
    </xf>
    <xf numFmtId="0" fontId="74" fillId="4" borderId="73" xfId="0" applyFont="1" applyFill="1" applyBorder="1" applyAlignment="1">
      <alignment horizontal="center" vertical="center" wrapText="1"/>
    </xf>
    <xf numFmtId="0" fontId="0" fillId="0" borderId="0" xfId="0" applyAlignment="1">
      <alignment horizontal="left" vertical="top" wrapText="1"/>
    </xf>
    <xf numFmtId="0" fontId="0" fillId="0" borderId="0" xfId="0" applyProtection="1">
      <protection locked="0"/>
    </xf>
    <xf numFmtId="14" fontId="0" fillId="0" borderId="0" xfId="0" applyNumberFormat="1" applyProtection="1">
      <protection locked="0"/>
    </xf>
    <xf numFmtId="0" fontId="0" fillId="4" borderId="0" xfId="0" applyFill="1" applyProtection="1">
      <protection locked="0"/>
    </xf>
    <xf numFmtId="0" fontId="74" fillId="74" borderId="0" xfId="0" applyFont="1" applyFill="1" applyAlignment="1">
      <alignment horizontal="right"/>
    </xf>
    <xf numFmtId="0" fontId="74" fillId="74" borderId="0" xfId="0" applyFont="1" applyFill="1"/>
    <xf numFmtId="0" fontId="127" fillId="62" borderId="78" xfId="0" applyFont="1" applyFill="1" applyBorder="1" applyAlignment="1">
      <alignment horizontal="left" vertical="top" wrapText="1"/>
    </xf>
    <xf numFmtId="0" fontId="127" fillId="62" borderId="79" xfId="0" applyFont="1" applyFill="1" applyBorder="1" applyAlignment="1">
      <alignment horizontal="left" vertical="top" wrapText="1"/>
    </xf>
    <xf numFmtId="14" fontId="127" fillId="62" borderId="79" xfId="0" applyNumberFormat="1" applyFont="1" applyFill="1" applyBorder="1" applyAlignment="1">
      <alignment horizontal="left" vertical="top" wrapText="1"/>
    </xf>
    <xf numFmtId="0" fontId="127" fillId="4" borderId="79" xfId="0" applyFont="1" applyFill="1" applyBorder="1" applyAlignment="1">
      <alignment horizontal="left" vertical="top" wrapText="1"/>
    </xf>
    <xf numFmtId="0" fontId="127" fillId="73" borderId="79" xfId="0" applyFont="1" applyFill="1" applyBorder="1" applyAlignment="1">
      <alignment horizontal="left" vertical="top" wrapText="1"/>
    </xf>
    <xf numFmtId="0" fontId="0" fillId="75" borderId="0" xfId="0" applyFill="1"/>
    <xf numFmtId="0" fontId="98" fillId="0" borderId="0" xfId="0" applyFont="1" applyAlignment="1">
      <alignment vertical="top" wrapText="1"/>
    </xf>
    <xf numFmtId="10" fontId="74" fillId="74" borderId="0" xfId="0" applyNumberFormat="1" applyFont="1" applyFill="1" applyAlignment="1">
      <alignment horizontal="right"/>
    </xf>
    <xf numFmtId="0" fontId="73" fillId="75" borderId="0" xfId="0" applyFont="1" applyFill="1" applyAlignment="1">
      <alignment horizontal="left" vertical="center" wrapText="1"/>
    </xf>
    <xf numFmtId="0" fontId="126" fillId="75" borderId="0" xfId="0" applyFont="1" applyFill="1" applyAlignment="1">
      <alignment horizontal="left" vertical="center" wrapText="1"/>
    </xf>
    <xf numFmtId="0" fontId="0" fillId="0" borderId="0" xfId="0" applyAlignment="1" applyProtection="1">
      <alignment horizontal="right"/>
      <protection locked="0"/>
    </xf>
    <xf numFmtId="0" fontId="0" fillId="0" borderId="0" xfId="0" applyAlignment="1" applyProtection="1">
      <alignment horizontal="left"/>
      <protection locked="0"/>
    </xf>
    <xf numFmtId="0" fontId="0" fillId="0" borderId="0" xfId="0" applyAlignment="1">
      <alignment horizontal="center" vertical="top" wrapText="1"/>
    </xf>
    <xf numFmtId="0" fontId="82" fillId="72" borderId="2" xfId="2236" applyFont="1" applyFill="1" applyBorder="1" applyAlignment="1">
      <alignment horizontal="center" vertical="center"/>
    </xf>
    <xf numFmtId="0" fontId="131" fillId="62" borderId="78" xfId="0" applyFont="1" applyFill="1" applyBorder="1" applyAlignment="1">
      <alignment horizontal="center" vertical="top" wrapText="1"/>
    </xf>
    <xf numFmtId="0" fontId="131" fillId="62" borderId="79" xfId="0" applyFont="1" applyFill="1" applyBorder="1" applyAlignment="1">
      <alignment horizontal="center" vertical="top" wrapText="1"/>
    </xf>
    <xf numFmtId="0" fontId="131" fillId="73" borderId="81" xfId="0" applyFont="1" applyFill="1" applyBorder="1" applyAlignment="1">
      <alignment horizontal="center" vertical="top" wrapText="1"/>
    </xf>
    <xf numFmtId="0" fontId="0" fillId="0" borderId="0" xfId="0" applyAlignment="1" applyProtection="1">
      <alignment horizontal="center" vertical="center"/>
      <protection locked="0"/>
    </xf>
    <xf numFmtId="0" fontId="74" fillId="72" borderId="73" xfId="0" applyFont="1" applyFill="1" applyBorder="1" applyAlignment="1">
      <alignment horizontal="center" vertical="center" wrapText="1"/>
    </xf>
    <xf numFmtId="0" fontId="20" fillId="63" borderId="73" xfId="0" applyFont="1" applyFill="1" applyBorder="1" applyAlignment="1">
      <alignment horizontal="left" vertical="center"/>
    </xf>
    <xf numFmtId="173" fontId="0" fillId="0" borderId="0" xfId="0" applyNumberFormat="1" applyAlignment="1" applyProtection="1">
      <alignment horizontal="center" vertical="center"/>
      <protection locked="0"/>
    </xf>
    <xf numFmtId="0" fontId="0" fillId="0" borderId="3" xfId="0" applyBorder="1" applyAlignment="1">
      <alignment vertical="center"/>
    </xf>
    <xf numFmtId="0" fontId="0" fillId="0" borderId="0" xfId="0" applyAlignment="1">
      <alignment horizontal="center" vertical="center" wrapText="1"/>
    </xf>
    <xf numFmtId="0" fontId="131" fillId="77" borderId="79" xfId="0" applyFont="1" applyFill="1" applyBorder="1" applyAlignment="1">
      <alignment horizontal="center" vertical="top" wrapText="1"/>
    </xf>
    <xf numFmtId="14" fontId="131" fillId="77" borderId="79" xfId="0" applyNumberFormat="1" applyFont="1" applyFill="1" applyBorder="1" applyAlignment="1">
      <alignment horizontal="center" vertical="top" wrapText="1"/>
    </xf>
    <xf numFmtId="0" fontId="131" fillId="78" borderId="79" xfId="0" applyFont="1" applyFill="1" applyBorder="1" applyAlignment="1">
      <alignment horizontal="center" vertical="top" wrapText="1"/>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0" fontId="0" fillId="0" borderId="2" xfId="0" applyBorder="1" applyAlignment="1">
      <alignment horizontal="left" vertical="center" wrapText="1"/>
    </xf>
    <xf numFmtId="168" fontId="16" fillId="0" borderId="2" xfId="242" applyNumberFormat="1" applyFont="1" applyFill="1" applyBorder="1" applyAlignment="1" applyProtection="1">
      <alignment horizontal="center" vertical="center"/>
    </xf>
    <xf numFmtId="9" fontId="0" fillId="0" borderId="2" xfId="242" applyFont="1" applyFill="1" applyBorder="1" applyAlignment="1" applyProtection="1">
      <alignment horizontal="center" vertical="center"/>
    </xf>
    <xf numFmtId="0" fontId="46" fillId="0" borderId="2" xfId="242" applyNumberFormat="1" applyFont="1" applyFill="1" applyBorder="1" applyAlignment="1" applyProtection="1">
      <alignment horizontal="center" vertical="center"/>
    </xf>
    <xf numFmtId="0" fontId="138" fillId="63" borderId="13" xfId="0" applyFont="1" applyFill="1" applyBorder="1" applyAlignment="1">
      <alignment horizontal="left" vertical="center"/>
    </xf>
    <xf numFmtId="0" fontId="138" fillId="63" borderId="3" xfId="0" applyFont="1" applyFill="1" applyBorder="1" applyAlignment="1">
      <alignment horizontal="center" vertical="center" wrapText="1"/>
    </xf>
    <xf numFmtId="0" fontId="138" fillId="63" borderId="3" xfId="0" applyFont="1" applyFill="1" applyBorder="1" applyAlignment="1">
      <alignment horizontal="left" vertical="center" wrapText="1"/>
    </xf>
    <xf numFmtId="0" fontId="138" fillId="63" borderId="14" xfId="0" applyFont="1" applyFill="1" applyBorder="1" applyAlignment="1">
      <alignment horizontal="center" vertical="center" wrapText="1"/>
    </xf>
    <xf numFmtId="0" fontId="138" fillId="63" borderId="2" xfId="0" applyFont="1" applyFill="1" applyBorder="1" applyAlignment="1">
      <alignment horizontal="center" vertical="center" wrapText="1"/>
    </xf>
    <xf numFmtId="0" fontId="140" fillId="0" borderId="84" xfId="243" applyFont="1" applyBorder="1" applyAlignment="1">
      <alignment horizontal="left" vertical="center"/>
    </xf>
    <xf numFmtId="0" fontId="140" fillId="0" borderId="84" xfId="243" applyFont="1" applyBorder="1" applyAlignment="1">
      <alignment horizontal="center" vertical="center"/>
    </xf>
    <xf numFmtId="166" fontId="140" fillId="0" borderId="84" xfId="243" applyNumberFormat="1" applyFont="1" applyBorder="1" applyAlignment="1">
      <alignment horizontal="center" vertical="center"/>
    </xf>
    <xf numFmtId="166" fontId="141" fillId="0" borderId="84" xfId="243" applyNumberFormat="1" applyFont="1" applyBorder="1" applyAlignment="1">
      <alignment horizontal="center" vertical="center"/>
    </xf>
    <xf numFmtId="0" fontId="140" fillId="0" borderId="85" xfId="243" applyFont="1" applyBorder="1" applyAlignment="1">
      <alignment horizontal="left" vertical="center"/>
    </xf>
    <xf numFmtId="0" fontId="140" fillId="0" borderId="85" xfId="243" applyFont="1" applyBorder="1" applyAlignment="1">
      <alignment horizontal="center" vertical="center"/>
    </xf>
    <xf numFmtId="166" fontId="140" fillId="0" borderId="85" xfId="243" applyNumberFormat="1" applyFont="1" applyBorder="1" applyAlignment="1">
      <alignment horizontal="center" vertical="center"/>
    </xf>
    <xf numFmtId="166" fontId="141" fillId="0" borderId="85" xfId="243" applyNumberFormat="1" applyFont="1" applyBorder="1" applyAlignment="1">
      <alignment horizontal="center" vertical="center"/>
    </xf>
    <xf numFmtId="2" fontId="140" fillId="0" borderId="85" xfId="243" applyNumberFormat="1" applyFont="1" applyBorder="1" applyAlignment="1">
      <alignment horizontal="center" vertical="center"/>
    </xf>
    <xf numFmtId="0" fontId="140" fillId="0" borderId="86" xfId="243" applyFont="1" applyBorder="1" applyAlignment="1">
      <alignment horizontal="left" vertical="center"/>
    </xf>
    <xf numFmtId="0" fontId="140" fillId="0" borderId="86" xfId="243" applyFont="1" applyBorder="1" applyAlignment="1">
      <alignment horizontal="center" vertical="center"/>
    </xf>
    <xf numFmtId="166" fontId="140" fillId="0" borderId="86" xfId="243" applyNumberFormat="1" applyFont="1" applyBorder="1" applyAlignment="1">
      <alignment horizontal="center" vertical="center"/>
    </xf>
    <xf numFmtId="166" fontId="141" fillId="0" borderId="86" xfId="243" applyNumberFormat="1" applyFont="1" applyBorder="1" applyAlignment="1">
      <alignment horizontal="center" vertical="center"/>
    </xf>
    <xf numFmtId="0" fontId="138" fillId="63" borderId="2" xfId="0" applyFont="1" applyFill="1" applyBorder="1" applyAlignment="1">
      <alignment horizontal="left" vertical="center" wrapText="1"/>
    </xf>
    <xf numFmtId="0" fontId="140" fillId="0" borderId="2" xfId="243" applyFont="1" applyBorder="1" applyAlignment="1">
      <alignment horizontal="center" vertical="center"/>
    </xf>
    <xf numFmtId="2" fontId="140" fillId="0" borderId="2" xfId="243" applyNumberFormat="1" applyFont="1" applyBorder="1" applyAlignment="1">
      <alignment horizontal="center" vertical="center"/>
    </xf>
    <xf numFmtId="1" fontId="140" fillId="0" borderId="2" xfId="243" applyNumberFormat="1" applyFont="1" applyBorder="1" applyAlignment="1">
      <alignment horizontal="center" vertical="center"/>
    </xf>
    <xf numFmtId="0" fontId="140" fillId="0" borderId="2" xfId="243" applyFont="1" applyBorder="1" applyAlignment="1">
      <alignment horizontal="left" vertical="center"/>
    </xf>
    <xf numFmtId="0" fontId="131" fillId="60" borderId="79" xfId="0" applyFont="1" applyFill="1" applyBorder="1" applyAlignment="1">
      <alignment horizontal="center" vertical="top" wrapText="1"/>
    </xf>
    <xf numFmtId="3" fontId="0" fillId="0" borderId="0" xfId="0" applyNumberFormat="1" applyAlignment="1" applyProtection="1">
      <alignment horizontal="center" vertical="center"/>
      <protection locked="0"/>
    </xf>
    <xf numFmtId="3" fontId="0" fillId="0" borderId="2" xfId="0" applyNumberFormat="1" applyBorder="1" applyAlignment="1">
      <alignment vertical="center"/>
    </xf>
    <xf numFmtId="0" fontId="0" fillId="3" borderId="2" xfId="0" applyFill="1" applyBorder="1" applyAlignment="1">
      <alignment horizontal="left" vertical="center" wrapText="1"/>
    </xf>
    <xf numFmtId="0" fontId="97" fillId="0" borderId="2" xfId="0" applyFont="1" applyBorder="1" applyAlignment="1" applyProtection="1">
      <alignment vertical="center"/>
      <protection locked="0"/>
    </xf>
    <xf numFmtId="0" fontId="0" fillId="79" borderId="0" xfId="0" applyFill="1" applyAlignment="1" applyProtection="1">
      <alignment horizontal="center" vertical="center"/>
      <protection hidden="1"/>
    </xf>
    <xf numFmtId="1" fontId="0" fillId="76" borderId="0" xfId="0" applyNumberFormat="1" applyFill="1" applyAlignment="1" applyProtection="1">
      <alignment horizontal="center" vertical="center"/>
      <protection hidden="1"/>
    </xf>
    <xf numFmtId="0" fontId="0" fillId="76" borderId="0" xfId="0" applyFill="1" applyAlignment="1" applyProtection="1">
      <alignment horizontal="center" vertical="center"/>
      <protection hidden="1"/>
    </xf>
    <xf numFmtId="174" fontId="0" fillId="76" borderId="0" xfId="0" applyNumberFormat="1" applyFill="1" applyAlignment="1" applyProtection="1">
      <alignment horizontal="center" vertical="center"/>
      <protection hidden="1"/>
    </xf>
    <xf numFmtId="3" fontId="0" fillId="76" borderId="0" xfId="0" applyNumberFormat="1" applyFill="1" applyAlignment="1" applyProtection="1">
      <alignment horizontal="center" vertical="center"/>
      <protection hidden="1"/>
    </xf>
    <xf numFmtId="0" fontId="0" fillId="76" borderId="0" xfId="0" applyFill="1" applyAlignment="1" applyProtection="1">
      <alignment horizontal="center" vertical="center" wrapText="1"/>
      <protection hidden="1"/>
    </xf>
    <xf numFmtId="3" fontId="0" fillId="76" borderId="0" xfId="0" applyNumberFormat="1" applyFill="1" applyAlignment="1" applyProtection="1">
      <alignment horizontal="center" vertical="center" wrapText="1"/>
      <protection hidden="1"/>
    </xf>
    <xf numFmtId="10" fontId="134" fillId="76" borderId="0" xfId="0" applyNumberFormat="1" applyFont="1" applyFill="1" applyAlignment="1" applyProtection="1">
      <alignment horizontal="center" vertical="center"/>
      <protection hidden="1"/>
    </xf>
    <xf numFmtId="0" fontId="134" fillId="74" borderId="0" xfId="0" applyFont="1" applyFill="1" applyAlignment="1" applyProtection="1">
      <alignment horizontal="center" vertical="center"/>
      <protection hidden="1"/>
    </xf>
    <xf numFmtId="0" fontId="134" fillId="76" borderId="0" xfId="0" applyFont="1" applyFill="1" applyAlignment="1" applyProtection="1">
      <alignment horizontal="center" vertical="center"/>
      <protection hidden="1"/>
    </xf>
    <xf numFmtId="1" fontId="134" fillId="76" borderId="0" xfId="0" applyNumberFormat="1" applyFont="1" applyFill="1" applyAlignment="1" applyProtection="1">
      <alignment horizontal="center" vertical="center"/>
      <protection hidden="1"/>
    </xf>
    <xf numFmtId="0" fontId="130" fillId="59" borderId="2" xfId="2236" applyFont="1" applyFill="1" applyBorder="1" applyAlignment="1">
      <alignment horizontal="center" vertical="center"/>
    </xf>
    <xf numFmtId="0" fontId="76" fillId="59" borderId="0" xfId="152" applyFont="1" applyFill="1" applyAlignment="1">
      <alignment vertical="center" wrapText="1"/>
    </xf>
    <xf numFmtId="0" fontId="76" fillId="59" borderId="2" xfId="152" applyFont="1" applyFill="1" applyBorder="1" applyAlignment="1">
      <alignment horizontal="center" vertical="center" wrapText="1"/>
    </xf>
    <xf numFmtId="14" fontId="18" fillId="59" borderId="2" xfId="152" applyNumberFormat="1" applyFont="1" applyFill="1" applyBorder="1" applyAlignment="1">
      <alignment horizontal="center" vertical="center" wrapText="1"/>
    </xf>
    <xf numFmtId="175" fontId="0" fillId="76" borderId="0" xfId="0" applyNumberFormat="1" applyFill="1" applyAlignment="1" applyProtection="1">
      <alignment horizontal="center" vertical="center"/>
      <protection hidden="1"/>
    </xf>
    <xf numFmtId="0" fontId="0" fillId="80" borderId="0" xfId="0" applyFill="1" applyAlignment="1" applyProtection="1">
      <alignment horizontal="center" vertical="center"/>
      <protection locked="0"/>
    </xf>
    <xf numFmtId="0" fontId="20" fillId="0" borderId="0" xfId="0" applyFont="1"/>
    <xf numFmtId="14" fontId="0" fillId="0" borderId="0" xfId="0" applyNumberFormat="1" applyAlignment="1" applyProtection="1">
      <alignment horizontal="center"/>
      <protection locked="0"/>
    </xf>
    <xf numFmtId="0" fontId="0" fillId="80" borderId="0" xfId="0" applyFill="1" applyAlignment="1" applyProtection="1">
      <alignment horizontal="center" vertical="center"/>
      <protection hidden="1"/>
    </xf>
    <xf numFmtId="0" fontId="46" fillId="76" borderId="0" xfId="0" applyFont="1" applyFill="1" applyAlignment="1" applyProtection="1">
      <alignment horizontal="center" vertical="center"/>
      <protection hidden="1"/>
    </xf>
    <xf numFmtId="0" fontId="46" fillId="76" borderId="0" xfId="0" applyFont="1" applyFill="1" applyAlignment="1" applyProtection="1">
      <alignment horizontal="center" vertical="center" wrapText="1"/>
      <protection hidden="1"/>
    </xf>
    <xf numFmtId="0" fontId="73" fillId="61" borderId="0" xfId="0" applyFont="1" applyFill="1" applyAlignment="1">
      <alignment horizontal="left"/>
    </xf>
    <xf numFmtId="3" fontId="18" fillId="59" borderId="13" xfId="152" quotePrefix="1" applyNumberFormat="1" applyFont="1" applyFill="1" applyBorder="1" applyAlignment="1">
      <alignment horizontal="left" vertical="center" wrapText="1"/>
    </xf>
    <xf numFmtId="3" fontId="18" fillId="59" borderId="3" xfId="152" quotePrefix="1" applyNumberFormat="1" applyFont="1" applyFill="1" applyBorder="1" applyAlignment="1">
      <alignment horizontal="left" vertical="center" wrapText="1"/>
    </xf>
    <xf numFmtId="3" fontId="18" fillId="59" borderId="14" xfId="152" quotePrefix="1" applyNumberFormat="1" applyFont="1" applyFill="1" applyBorder="1" applyAlignment="1">
      <alignment horizontal="left" vertical="center" wrapText="1"/>
    </xf>
    <xf numFmtId="0" fontId="76" fillId="4" borderId="0" xfId="2234" applyNumberFormat="1" applyFont="1" applyFill="1" applyAlignment="1" applyProtection="1">
      <alignment horizontal="left" vertical="center" wrapText="1"/>
      <protection hidden="1"/>
    </xf>
    <xf numFmtId="0" fontId="76" fillId="59" borderId="15" xfId="152" applyFont="1" applyFill="1" applyBorder="1" applyAlignment="1">
      <alignment horizontal="center" vertical="center" wrapText="1"/>
    </xf>
    <xf numFmtId="0" fontId="76" fillId="59" borderId="16" xfId="152" applyFont="1" applyFill="1" applyBorder="1" applyAlignment="1">
      <alignment horizontal="center" vertical="center" wrapText="1"/>
    </xf>
    <xf numFmtId="0" fontId="93" fillId="4" borderId="32" xfId="2238" applyFont="1" applyFill="1" applyBorder="1" applyAlignment="1">
      <alignment horizontal="left"/>
    </xf>
    <xf numFmtId="0" fontId="76" fillId="59" borderId="13" xfId="152" applyFont="1" applyFill="1" applyBorder="1" applyAlignment="1">
      <alignment horizontal="left" vertical="center" wrapText="1"/>
    </xf>
    <xf numFmtId="0" fontId="76" fillId="59" borderId="3" xfId="152" applyFont="1" applyFill="1" applyBorder="1" applyAlignment="1">
      <alignment horizontal="left" vertical="center" wrapText="1"/>
    </xf>
    <xf numFmtId="0" fontId="76" fillId="59" borderId="14" xfId="152" applyFont="1" applyFill="1" applyBorder="1" applyAlignment="1">
      <alignment horizontal="left" vertical="center" wrapText="1"/>
    </xf>
    <xf numFmtId="3" fontId="18" fillId="59" borderId="13" xfId="152" applyNumberFormat="1" applyFont="1" applyFill="1" applyBorder="1" applyAlignment="1">
      <alignment horizontal="left" vertical="center" wrapText="1"/>
    </xf>
    <xf numFmtId="3" fontId="18" fillId="59" borderId="3" xfId="152" applyNumberFormat="1" applyFont="1" applyFill="1" applyBorder="1" applyAlignment="1">
      <alignment horizontal="left" vertical="center" wrapText="1"/>
    </xf>
    <xf numFmtId="3" fontId="18" fillId="59" borderId="14" xfId="152" applyNumberFormat="1" applyFont="1" applyFill="1" applyBorder="1" applyAlignment="1">
      <alignment horizontal="left" vertical="center" wrapText="1"/>
    </xf>
    <xf numFmtId="0" fontId="76" fillId="59" borderId="63" xfId="152" applyFont="1" applyFill="1" applyBorder="1" applyAlignment="1">
      <alignment horizontal="center" vertical="center" wrapText="1"/>
    </xf>
    <xf numFmtId="0" fontId="46" fillId="4" borderId="15" xfId="2233" applyFont="1" applyFill="1" applyBorder="1" applyAlignment="1">
      <alignment horizontal="left" vertical="center" wrapText="1"/>
    </xf>
    <xf numFmtId="0" fontId="46" fillId="4" borderId="63" xfId="2233" applyFont="1" applyFill="1" applyBorder="1" applyAlignment="1">
      <alignment horizontal="left" vertical="center" wrapText="1"/>
    </xf>
    <xf numFmtId="0" fontId="46" fillId="4" borderId="2" xfId="2233" applyFont="1" applyFill="1" applyBorder="1" applyAlignment="1">
      <alignment horizontal="left" vertical="center" wrapText="1"/>
    </xf>
    <xf numFmtId="0" fontId="46" fillId="0" borderId="15" xfId="0" applyFont="1" applyBorder="1" applyAlignment="1">
      <alignment horizontal="left" vertical="center" wrapText="1"/>
    </xf>
    <xf numFmtId="0" fontId="46" fillId="0" borderId="63" xfId="0" applyFont="1" applyBorder="1" applyAlignment="1">
      <alignment horizontal="left" vertical="center" wrapText="1"/>
    </xf>
    <xf numFmtId="0" fontId="46" fillId="0" borderId="16" xfId="0" applyFont="1" applyBorder="1" applyAlignment="1">
      <alignment horizontal="left" vertical="center" wrapText="1"/>
    </xf>
    <xf numFmtId="0" fontId="46" fillId="4" borderId="16" xfId="2233" applyFont="1" applyFill="1" applyBorder="1" applyAlignment="1">
      <alignment horizontal="left" vertical="center" wrapText="1"/>
    </xf>
    <xf numFmtId="0" fontId="0" fillId="59" borderId="0" xfId="2236" applyFont="1" applyFill="1" applyAlignment="1">
      <alignment horizontal="left" vertical="top" wrapText="1"/>
    </xf>
    <xf numFmtId="0" fontId="16" fillId="59" borderId="0" xfId="2236" applyFont="1" applyFill="1" applyAlignment="1">
      <alignment horizontal="left" vertical="top"/>
    </xf>
    <xf numFmtId="0" fontId="73" fillId="61" borderId="0" xfId="2236" applyFont="1" applyFill="1" applyAlignment="1">
      <alignment horizontal="left" vertical="center"/>
    </xf>
    <xf numFmtId="0" fontId="16" fillId="0" borderId="0" xfId="2236" applyFont="1" applyAlignment="1">
      <alignment horizontal="left" vertical="top" wrapText="1"/>
    </xf>
    <xf numFmtId="0" fontId="16" fillId="0" borderId="0" xfId="2236" applyFont="1" applyAlignment="1">
      <alignment horizontal="left" vertical="top"/>
    </xf>
    <xf numFmtId="0" fontId="16" fillId="0" borderId="30" xfId="2236" applyFont="1" applyBorder="1" applyAlignment="1">
      <alignment horizontal="left" vertical="center" wrapText="1"/>
    </xf>
    <xf numFmtId="0" fontId="16" fillId="0" borderId="0" xfId="2236" applyFont="1" applyAlignment="1">
      <alignment horizontal="left" vertical="center" wrapText="1"/>
    </xf>
    <xf numFmtId="0" fontId="16" fillId="0" borderId="25" xfId="2236" applyFont="1" applyBorder="1" applyAlignment="1">
      <alignment horizontal="left" vertical="center" wrapText="1"/>
    </xf>
    <xf numFmtId="0" fontId="16" fillId="59" borderId="25" xfId="2236" applyFont="1" applyFill="1" applyBorder="1" applyAlignment="1">
      <alignment horizontal="left" vertical="center" wrapText="1"/>
    </xf>
    <xf numFmtId="0" fontId="16" fillId="59" borderId="0" xfId="2236" applyFont="1" applyFill="1" applyAlignment="1">
      <alignment horizontal="left" vertical="center" wrapText="1"/>
    </xf>
    <xf numFmtId="0" fontId="96" fillId="4" borderId="0" xfId="0" applyFont="1" applyFill="1" applyAlignment="1">
      <alignment horizontal="left" vertical="center" wrapText="1"/>
    </xf>
    <xf numFmtId="0" fontId="20" fillId="63" borderId="13" xfId="0" applyFont="1" applyFill="1" applyBorder="1" applyAlignment="1">
      <alignment horizontal="left" vertical="center" wrapText="1"/>
    </xf>
    <xf numFmtId="0" fontId="20" fillId="63" borderId="14" xfId="0" applyFont="1" applyFill="1" applyBorder="1" applyAlignment="1">
      <alignment horizontal="left" vertical="center" wrapText="1"/>
    </xf>
    <xf numFmtId="0" fontId="20" fillId="63" borderId="2" xfId="0" applyFont="1" applyFill="1" applyBorder="1" applyAlignment="1">
      <alignment horizontal="left" vertical="center" wrapText="1"/>
    </xf>
    <xf numFmtId="0" fontId="20" fillId="63" borderId="13" xfId="0" applyFont="1" applyFill="1" applyBorder="1" applyAlignment="1">
      <alignment horizontal="left" vertical="center"/>
    </xf>
    <xf numFmtId="0" fontId="20" fillId="63" borderId="14" xfId="0" applyFont="1" applyFill="1" applyBorder="1" applyAlignment="1">
      <alignment horizontal="left" vertical="center"/>
    </xf>
    <xf numFmtId="0" fontId="20" fillId="63" borderId="15" xfId="0" applyFont="1" applyFill="1" applyBorder="1" applyAlignment="1">
      <alignment horizontal="left" vertical="center" wrapText="1"/>
    </xf>
    <xf numFmtId="0" fontId="20" fillId="63" borderId="16" xfId="0" applyFont="1" applyFill="1" applyBorder="1" applyAlignment="1">
      <alignment horizontal="left" vertical="center" wrapText="1"/>
    </xf>
    <xf numFmtId="0" fontId="99" fillId="61" borderId="32" xfId="0" applyFont="1" applyFill="1" applyBorder="1" applyAlignment="1">
      <alignment horizontal="left" vertical="center" wrapText="1"/>
    </xf>
    <xf numFmtId="0" fontId="99" fillId="61" borderId="0" xfId="0" applyFont="1" applyFill="1" applyAlignment="1">
      <alignment horizontal="left" vertical="center" wrapText="1"/>
    </xf>
    <xf numFmtId="0" fontId="97" fillId="4" borderId="0" xfId="0" applyFont="1" applyFill="1" applyAlignment="1">
      <alignment horizontal="center" vertical="center" wrapText="1"/>
    </xf>
    <xf numFmtId="0" fontId="74" fillId="62" borderId="13" xfId="0" applyFont="1" applyFill="1" applyBorder="1" applyAlignment="1">
      <alignment horizontal="center" vertical="center" wrapText="1"/>
    </xf>
    <xf numFmtId="0" fontId="74" fillId="62" borderId="14" xfId="0" applyFont="1" applyFill="1" applyBorder="1" applyAlignment="1">
      <alignment horizontal="center" vertical="center" wrapText="1"/>
    </xf>
    <xf numFmtId="0" fontId="20" fillId="63" borderId="13" xfId="0" applyFont="1" applyFill="1" applyBorder="1" applyAlignment="1">
      <alignment vertical="center" wrapText="1"/>
    </xf>
    <xf numFmtId="0" fontId="20" fillId="63" borderId="14" xfId="0" applyFont="1" applyFill="1" applyBorder="1" applyAlignment="1">
      <alignment vertical="center" wrapText="1"/>
    </xf>
    <xf numFmtId="0" fontId="74" fillId="62" borderId="2" xfId="0" applyFont="1" applyFill="1" applyBorder="1" applyAlignment="1">
      <alignment horizontal="right" vertical="center"/>
    </xf>
    <xf numFmtId="0" fontId="74" fillId="62" borderId="2" xfId="0" applyFont="1" applyFill="1" applyBorder="1" applyAlignment="1">
      <alignment horizontal="right" vertical="center" wrapText="1"/>
    </xf>
    <xf numFmtId="0" fontId="20" fillId="63" borderId="27" xfId="0" applyFont="1" applyFill="1" applyBorder="1" applyAlignment="1">
      <alignment horizontal="left" vertical="center" wrapText="1"/>
    </xf>
    <xf numFmtId="0" fontId="102" fillId="61" borderId="0" xfId="0" applyFont="1" applyFill="1" applyAlignment="1">
      <alignment horizontal="left" vertical="center" wrapText="1"/>
    </xf>
    <xf numFmtId="0" fontId="20" fillId="0" borderId="13" xfId="0" applyFont="1" applyBorder="1" applyAlignment="1">
      <alignment horizontal="center" vertical="center"/>
    </xf>
    <xf numFmtId="0" fontId="20" fillId="0" borderId="3" xfId="0" applyFont="1" applyBorder="1" applyAlignment="1">
      <alignment horizontal="center" vertical="center"/>
    </xf>
    <xf numFmtId="0" fontId="20" fillId="0" borderId="14" xfId="0" applyFont="1" applyBorder="1" applyAlignment="1">
      <alignment horizontal="center" vertical="center"/>
    </xf>
    <xf numFmtId="0" fontId="106" fillId="0" borderId="13" xfId="0" applyFont="1" applyBorder="1" applyAlignment="1">
      <alignment horizontal="center" vertical="center" wrapText="1"/>
    </xf>
    <xf numFmtId="0" fontId="106" fillId="0" borderId="3" xfId="0" applyFont="1" applyBorder="1" applyAlignment="1">
      <alignment horizontal="center" vertical="center" wrapText="1"/>
    </xf>
    <xf numFmtId="0" fontId="106" fillId="0" borderId="14" xfId="0" applyFont="1" applyBorder="1" applyAlignment="1">
      <alignment horizontal="center" vertical="center" wrapText="1"/>
    </xf>
    <xf numFmtId="0" fontId="102" fillId="61" borderId="32" xfId="0" applyFont="1" applyFill="1" applyBorder="1" applyAlignment="1">
      <alignment horizontal="left" vertical="center" wrapText="1"/>
    </xf>
    <xf numFmtId="0" fontId="106" fillId="4" borderId="32" xfId="0" applyFont="1" applyFill="1" applyBorder="1" applyAlignment="1">
      <alignment horizontal="center" vertical="center" wrapText="1"/>
    </xf>
    <xf numFmtId="0" fontId="0" fillId="65" borderId="2" xfId="0" applyFill="1" applyBorder="1" applyAlignment="1" applyProtection="1">
      <alignment horizontal="center" vertical="center" wrapText="1"/>
      <protection locked="0"/>
    </xf>
    <xf numFmtId="0" fontId="74" fillId="73" borderId="87" xfId="0" applyFont="1" applyFill="1" applyBorder="1" applyAlignment="1">
      <alignment horizontal="center" vertical="center" wrapText="1"/>
    </xf>
    <xf numFmtId="0" fontId="74" fillId="73" borderId="77" xfId="0" applyFont="1" applyFill="1" applyBorder="1" applyAlignment="1">
      <alignment horizontal="center" vertical="center" wrapText="1"/>
    </xf>
    <xf numFmtId="0" fontId="0" fillId="0" borderId="0" xfId="0" applyAlignment="1">
      <alignment horizontal="center" vertical="center" wrapText="1"/>
    </xf>
    <xf numFmtId="0" fontId="74" fillId="73" borderId="82" xfId="0" applyFont="1" applyFill="1" applyBorder="1" applyAlignment="1">
      <alignment horizontal="left" vertical="center" wrapText="1"/>
    </xf>
    <xf numFmtId="0" fontId="74" fillId="73" borderId="83" xfId="0" applyFont="1" applyFill="1" applyBorder="1" applyAlignment="1">
      <alignment horizontal="left" vertical="center" wrapText="1"/>
    </xf>
    <xf numFmtId="0" fontId="74" fillId="72" borderId="73" xfId="0" applyFont="1" applyFill="1" applyBorder="1" applyAlignment="1">
      <alignment horizontal="left" vertical="center" wrapText="1"/>
    </xf>
    <xf numFmtId="0" fontId="73" fillId="62" borderId="0" xfId="0" applyFont="1" applyFill="1" applyAlignment="1">
      <alignment horizontal="left" vertical="center" wrapText="1"/>
    </xf>
    <xf numFmtId="0" fontId="20" fillId="63" borderId="73" xfId="0" applyFont="1" applyFill="1" applyBorder="1" applyAlignment="1">
      <alignment horizontal="left" vertical="center"/>
    </xf>
    <xf numFmtId="0" fontId="105" fillId="0" borderId="0" xfId="0" applyFont="1" applyAlignment="1">
      <alignment horizontal="left" vertical="top" wrapText="1"/>
    </xf>
    <xf numFmtId="0" fontId="105" fillId="0" borderId="0" xfId="0" applyFont="1" applyAlignment="1">
      <alignment horizontal="left" vertical="top"/>
    </xf>
    <xf numFmtId="0" fontId="138" fillId="63" borderId="15" xfId="0" applyFont="1" applyFill="1" applyBorder="1" applyAlignment="1">
      <alignment horizontal="left" vertical="center" wrapText="1"/>
    </xf>
    <xf numFmtId="0" fontId="138" fillId="63" borderId="16" xfId="0" applyFont="1" applyFill="1" applyBorder="1" applyAlignment="1">
      <alignment horizontal="left" vertical="center" wrapText="1"/>
    </xf>
    <xf numFmtId="0" fontId="138" fillId="63" borderId="15" xfId="0" applyFont="1" applyFill="1" applyBorder="1" applyAlignment="1">
      <alignment horizontal="center" vertical="center" wrapText="1"/>
    </xf>
    <xf numFmtId="0" fontId="138" fillId="63" borderId="16" xfId="0" applyFont="1" applyFill="1" applyBorder="1" applyAlignment="1">
      <alignment horizontal="center" vertical="center" wrapText="1"/>
    </xf>
    <xf numFmtId="0" fontId="138" fillId="63" borderId="13" xfId="0" applyFont="1" applyFill="1" applyBorder="1" applyAlignment="1">
      <alignment horizontal="center" vertical="center" wrapText="1"/>
    </xf>
    <xf numFmtId="0" fontId="138" fillId="63" borderId="3" xfId="0" applyFont="1" applyFill="1" applyBorder="1" applyAlignment="1">
      <alignment horizontal="center" vertical="center" wrapText="1"/>
    </xf>
    <xf numFmtId="0" fontId="138" fillId="63" borderId="14" xfId="0" applyFont="1" applyFill="1" applyBorder="1" applyAlignment="1">
      <alignment horizontal="center" vertical="center" wrapText="1"/>
    </xf>
    <xf numFmtId="0" fontId="118" fillId="0" borderId="32" xfId="0" applyFont="1" applyBorder="1" applyAlignment="1">
      <alignment horizontal="left" vertical="center" wrapText="1"/>
    </xf>
    <xf numFmtId="0" fontId="51" fillId="63" borderId="13" xfId="0" applyFont="1" applyFill="1" applyBorder="1" applyAlignment="1">
      <alignment horizontal="left" vertical="center" wrapText="1"/>
    </xf>
    <xf numFmtId="0" fontId="51" fillId="63" borderId="14" xfId="0" applyFont="1" applyFill="1" applyBorder="1" applyAlignment="1">
      <alignment horizontal="left" vertical="center" wrapText="1"/>
    </xf>
    <xf numFmtId="0" fontId="51" fillId="63" borderId="2" xfId="0" applyFont="1" applyFill="1" applyBorder="1" applyAlignment="1">
      <alignment horizontal="left" vertical="center" wrapText="1"/>
    </xf>
    <xf numFmtId="0" fontId="107" fillId="0" borderId="33" xfId="0" applyFont="1" applyBorder="1" applyAlignment="1" applyProtection="1">
      <alignment horizontal="center" vertical="center"/>
      <protection locked="0"/>
    </xf>
    <xf numFmtId="0" fontId="107" fillId="0" borderId="34" xfId="0" applyFont="1" applyBorder="1" applyAlignment="1" applyProtection="1">
      <alignment horizontal="center" vertical="center"/>
      <protection locked="0"/>
    </xf>
    <xf numFmtId="0" fontId="76" fillId="70" borderId="2" xfId="0" applyFont="1" applyFill="1" applyBorder="1" applyAlignment="1">
      <alignment horizontal="center" vertical="center"/>
    </xf>
    <xf numFmtId="0" fontId="126" fillId="62" borderId="0" xfId="0" applyFont="1" applyFill="1" applyAlignment="1">
      <alignment horizontal="left" vertical="center" wrapText="1"/>
    </xf>
    <xf numFmtId="0" fontId="20" fillId="63" borderId="74" xfId="0" applyFont="1" applyFill="1" applyBorder="1" applyAlignment="1">
      <alignment horizontal="left" vertical="center"/>
    </xf>
    <xf numFmtId="0" fontId="74" fillId="72" borderId="73" xfId="0" applyFont="1" applyFill="1" applyBorder="1" applyAlignment="1">
      <alignment horizontal="center" vertical="center"/>
    </xf>
    <xf numFmtId="0" fontId="74" fillId="72" borderId="75" xfId="0" applyFont="1" applyFill="1" applyBorder="1" applyAlignment="1">
      <alignment horizontal="center" vertical="center"/>
    </xf>
    <xf numFmtId="0" fontId="74" fillId="72" borderId="76" xfId="0" applyFont="1" applyFill="1" applyBorder="1" applyAlignment="1">
      <alignment horizontal="center" vertical="center" wrapText="1"/>
    </xf>
    <xf numFmtId="0" fontId="74" fillId="72" borderId="77" xfId="0" applyFont="1" applyFill="1" applyBorder="1" applyAlignment="1">
      <alignment horizontal="center" vertical="center" wrapText="1"/>
    </xf>
    <xf numFmtId="0" fontId="74" fillId="72" borderId="73" xfId="0" applyFont="1" applyFill="1" applyBorder="1" applyAlignment="1">
      <alignment horizontal="center" vertical="center" wrapText="1"/>
    </xf>
    <xf numFmtId="0" fontId="74" fillId="72" borderId="75" xfId="0" applyFont="1" applyFill="1" applyBorder="1" applyAlignment="1">
      <alignment horizontal="center" vertical="center" wrapText="1"/>
    </xf>
    <xf numFmtId="0" fontId="74" fillId="73" borderId="73" xfId="0" applyFont="1" applyFill="1" applyBorder="1" applyAlignment="1">
      <alignment horizontal="center" vertical="center" wrapText="1"/>
    </xf>
    <xf numFmtId="0" fontId="20" fillId="68" borderId="80" xfId="0" applyFont="1" applyFill="1" applyBorder="1" applyAlignment="1">
      <alignment horizontal="center" vertical="center" wrapText="1"/>
    </xf>
    <xf numFmtId="0" fontId="20" fillId="68" borderId="73" xfId="0" applyFont="1" applyFill="1" applyBorder="1" applyAlignment="1">
      <alignment horizontal="center" vertical="center" wrapText="1"/>
    </xf>
    <xf numFmtId="0" fontId="98" fillId="0" borderId="0" xfId="0" applyFont="1" applyAlignment="1">
      <alignment horizontal="left" vertical="top" wrapText="1"/>
    </xf>
    <xf numFmtId="0" fontId="20" fillId="63" borderId="15" xfId="0" applyFont="1" applyFill="1" applyBorder="1" applyAlignment="1">
      <alignment horizontal="center" vertical="center" wrapText="1"/>
    </xf>
    <xf numFmtId="0" fontId="20" fillId="63" borderId="16" xfId="0" applyFont="1" applyFill="1" applyBorder="1" applyAlignment="1">
      <alignment horizontal="center" vertical="center" wrapText="1"/>
    </xf>
    <xf numFmtId="0" fontId="20" fillId="63" borderId="13" xfId="0" applyFont="1" applyFill="1" applyBorder="1" applyAlignment="1">
      <alignment horizontal="center" vertical="center" wrapText="1"/>
    </xf>
    <xf numFmtId="0" fontId="20" fillId="63" borderId="3" xfId="0" applyFont="1" applyFill="1" applyBorder="1" applyAlignment="1">
      <alignment horizontal="center" vertical="center" wrapText="1"/>
    </xf>
    <xf numFmtId="0" fontId="20" fillId="63" borderId="14" xfId="0" applyFont="1" applyFill="1" applyBorder="1" applyAlignment="1">
      <alignment horizontal="center" vertical="center" wrapText="1"/>
    </xf>
  </cellXfs>
  <cellStyles count="2239">
    <cellStyle name="=C:\WINNT\SYSTEM32\COMMAND.COM" xfId="18" xr:uid="{00000000-0005-0000-0000-000000000000}"/>
    <cellStyle name="20% - Accent1" xfId="217" builtinId="30" customBuiltin="1"/>
    <cellStyle name="20% - Accent1 2" xfId="19" xr:uid="{00000000-0005-0000-0000-000002000000}"/>
    <cellStyle name="20% - Accent1 3" xfId="248" xr:uid="{00000000-0005-0000-0000-000003000000}"/>
    <cellStyle name="20% - Accent1 3 2" xfId="372" xr:uid="{00000000-0005-0000-0000-000004000000}"/>
    <cellStyle name="20% - Accent1 3 2 2" xfId="1157" xr:uid="{00000000-0005-0000-0000-000005000000}"/>
    <cellStyle name="20% - Accent1 3 2 2 2" xfId="2203" xr:uid="{00000000-0005-0000-0000-000006000000}"/>
    <cellStyle name="20% - Accent1 3 2 3" xfId="891" xr:uid="{00000000-0005-0000-0000-000007000000}"/>
    <cellStyle name="20% - Accent1 3 2 3 2" xfId="1937" xr:uid="{00000000-0005-0000-0000-000008000000}"/>
    <cellStyle name="20% - Accent1 3 2 4" xfId="620" xr:uid="{00000000-0005-0000-0000-000009000000}"/>
    <cellStyle name="20% - Accent1 3 2 4 2" xfId="1671" xr:uid="{00000000-0005-0000-0000-00000A000000}"/>
    <cellStyle name="20% - Accent1 3 2 5" xfId="1423" xr:uid="{00000000-0005-0000-0000-00000B000000}"/>
    <cellStyle name="20% - Accent1 3 3" xfId="1033" xr:uid="{00000000-0005-0000-0000-00000C000000}"/>
    <cellStyle name="20% - Accent1 3 3 2" xfId="2079" xr:uid="{00000000-0005-0000-0000-00000D000000}"/>
    <cellStyle name="20% - Accent1 3 4" xfId="767" xr:uid="{00000000-0005-0000-0000-00000E000000}"/>
    <cellStyle name="20% - Accent1 3 4 2" xfId="1813" xr:uid="{00000000-0005-0000-0000-00000F000000}"/>
    <cellStyle name="20% - Accent1 3 5" xfId="496" xr:uid="{00000000-0005-0000-0000-000010000000}"/>
    <cellStyle name="20% - Accent1 3 5 2" xfId="1547" xr:uid="{00000000-0005-0000-0000-000011000000}"/>
    <cellStyle name="20% - Accent1 3 6" xfId="1299" xr:uid="{00000000-0005-0000-0000-000012000000}"/>
    <cellStyle name="20% - Accent1 4" xfId="354" xr:uid="{00000000-0005-0000-0000-000013000000}"/>
    <cellStyle name="20% - Accent1 4 2" xfId="1139" xr:uid="{00000000-0005-0000-0000-000014000000}"/>
    <cellStyle name="20% - Accent1 4 2 2" xfId="2185" xr:uid="{00000000-0005-0000-0000-000015000000}"/>
    <cellStyle name="20% - Accent1 4 3" xfId="873" xr:uid="{00000000-0005-0000-0000-000016000000}"/>
    <cellStyle name="20% - Accent1 4 3 2" xfId="1919" xr:uid="{00000000-0005-0000-0000-000017000000}"/>
    <cellStyle name="20% - Accent1 4 4" xfId="602" xr:uid="{00000000-0005-0000-0000-000018000000}"/>
    <cellStyle name="20% - Accent1 4 4 2" xfId="1653" xr:uid="{00000000-0005-0000-0000-000019000000}"/>
    <cellStyle name="20% - Accent1 4 5" xfId="1405" xr:uid="{00000000-0005-0000-0000-00001A000000}"/>
    <cellStyle name="20% - Accent1 5" xfId="634" xr:uid="{00000000-0005-0000-0000-00001B000000}"/>
    <cellStyle name="20% - Accent1 5 2" xfId="1171" xr:uid="{00000000-0005-0000-0000-00001C000000}"/>
    <cellStyle name="20% - Accent1 5 2 2" xfId="2217" xr:uid="{00000000-0005-0000-0000-00001D000000}"/>
    <cellStyle name="20% - Accent1 5 3" xfId="905" xr:uid="{00000000-0005-0000-0000-00001E000000}"/>
    <cellStyle name="20% - Accent1 5 3 2" xfId="1951" xr:uid="{00000000-0005-0000-0000-00001F000000}"/>
    <cellStyle name="20% - Accent1 5 4" xfId="1685" xr:uid="{00000000-0005-0000-0000-000020000000}"/>
    <cellStyle name="20% - Accent1 6" xfId="1015" xr:uid="{00000000-0005-0000-0000-000021000000}"/>
    <cellStyle name="20% - Accent1 6 2" xfId="2061" xr:uid="{00000000-0005-0000-0000-000022000000}"/>
    <cellStyle name="20% - Accent1 7" xfId="749" xr:uid="{00000000-0005-0000-0000-000023000000}"/>
    <cellStyle name="20% - Accent1 7 2" xfId="1795" xr:uid="{00000000-0005-0000-0000-000024000000}"/>
    <cellStyle name="20% - Accent1 8" xfId="478" xr:uid="{00000000-0005-0000-0000-000025000000}"/>
    <cellStyle name="20% - Accent1 8 2" xfId="1529" xr:uid="{00000000-0005-0000-0000-000026000000}"/>
    <cellStyle name="20% - Accent1 9" xfId="1281" xr:uid="{00000000-0005-0000-0000-000027000000}"/>
    <cellStyle name="20% - Accent2" xfId="221" builtinId="34" customBuiltin="1"/>
    <cellStyle name="20% - Accent2 2" xfId="20" xr:uid="{00000000-0005-0000-0000-000029000000}"/>
    <cellStyle name="20% - Accent2 3" xfId="250" xr:uid="{00000000-0005-0000-0000-00002A000000}"/>
    <cellStyle name="20% - Accent2 3 2" xfId="374" xr:uid="{00000000-0005-0000-0000-00002B000000}"/>
    <cellStyle name="20% - Accent2 3 2 2" xfId="1159" xr:uid="{00000000-0005-0000-0000-00002C000000}"/>
    <cellStyle name="20% - Accent2 3 2 2 2" xfId="2205" xr:uid="{00000000-0005-0000-0000-00002D000000}"/>
    <cellStyle name="20% - Accent2 3 2 3" xfId="893" xr:uid="{00000000-0005-0000-0000-00002E000000}"/>
    <cellStyle name="20% - Accent2 3 2 3 2" xfId="1939" xr:uid="{00000000-0005-0000-0000-00002F000000}"/>
    <cellStyle name="20% - Accent2 3 2 4" xfId="622" xr:uid="{00000000-0005-0000-0000-000030000000}"/>
    <cellStyle name="20% - Accent2 3 2 4 2" xfId="1673" xr:uid="{00000000-0005-0000-0000-000031000000}"/>
    <cellStyle name="20% - Accent2 3 2 5" xfId="1425" xr:uid="{00000000-0005-0000-0000-000032000000}"/>
    <cellStyle name="20% - Accent2 3 3" xfId="1035" xr:uid="{00000000-0005-0000-0000-000033000000}"/>
    <cellStyle name="20% - Accent2 3 3 2" xfId="2081" xr:uid="{00000000-0005-0000-0000-000034000000}"/>
    <cellStyle name="20% - Accent2 3 4" xfId="769" xr:uid="{00000000-0005-0000-0000-000035000000}"/>
    <cellStyle name="20% - Accent2 3 4 2" xfId="1815" xr:uid="{00000000-0005-0000-0000-000036000000}"/>
    <cellStyle name="20% - Accent2 3 5" xfId="498" xr:uid="{00000000-0005-0000-0000-000037000000}"/>
    <cellStyle name="20% - Accent2 3 5 2" xfId="1549" xr:uid="{00000000-0005-0000-0000-000038000000}"/>
    <cellStyle name="20% - Accent2 3 6" xfId="1301" xr:uid="{00000000-0005-0000-0000-000039000000}"/>
    <cellStyle name="20% - Accent2 4" xfId="356" xr:uid="{00000000-0005-0000-0000-00003A000000}"/>
    <cellStyle name="20% - Accent2 4 2" xfId="1141" xr:uid="{00000000-0005-0000-0000-00003B000000}"/>
    <cellStyle name="20% - Accent2 4 2 2" xfId="2187" xr:uid="{00000000-0005-0000-0000-00003C000000}"/>
    <cellStyle name="20% - Accent2 4 3" xfId="875" xr:uid="{00000000-0005-0000-0000-00003D000000}"/>
    <cellStyle name="20% - Accent2 4 3 2" xfId="1921" xr:uid="{00000000-0005-0000-0000-00003E000000}"/>
    <cellStyle name="20% - Accent2 4 4" xfId="604" xr:uid="{00000000-0005-0000-0000-00003F000000}"/>
    <cellStyle name="20% - Accent2 4 4 2" xfId="1655" xr:uid="{00000000-0005-0000-0000-000040000000}"/>
    <cellStyle name="20% - Accent2 4 5" xfId="1407" xr:uid="{00000000-0005-0000-0000-000041000000}"/>
    <cellStyle name="20% - Accent2 5" xfId="636" xr:uid="{00000000-0005-0000-0000-000042000000}"/>
    <cellStyle name="20% - Accent2 5 2" xfId="1173" xr:uid="{00000000-0005-0000-0000-000043000000}"/>
    <cellStyle name="20% - Accent2 5 2 2" xfId="2219" xr:uid="{00000000-0005-0000-0000-000044000000}"/>
    <cellStyle name="20% - Accent2 5 3" xfId="907" xr:uid="{00000000-0005-0000-0000-000045000000}"/>
    <cellStyle name="20% - Accent2 5 3 2" xfId="1953" xr:uid="{00000000-0005-0000-0000-000046000000}"/>
    <cellStyle name="20% - Accent2 5 4" xfId="1687" xr:uid="{00000000-0005-0000-0000-000047000000}"/>
    <cellStyle name="20% - Accent2 6" xfId="1017" xr:uid="{00000000-0005-0000-0000-000048000000}"/>
    <cellStyle name="20% - Accent2 6 2" xfId="2063" xr:uid="{00000000-0005-0000-0000-000049000000}"/>
    <cellStyle name="20% - Accent2 7" xfId="751" xr:uid="{00000000-0005-0000-0000-00004A000000}"/>
    <cellStyle name="20% - Accent2 7 2" xfId="1797" xr:uid="{00000000-0005-0000-0000-00004B000000}"/>
    <cellStyle name="20% - Accent2 8" xfId="480" xr:uid="{00000000-0005-0000-0000-00004C000000}"/>
    <cellStyle name="20% - Accent2 8 2" xfId="1531" xr:uid="{00000000-0005-0000-0000-00004D000000}"/>
    <cellStyle name="20% - Accent2 9" xfId="1283" xr:uid="{00000000-0005-0000-0000-00004E000000}"/>
    <cellStyle name="20% - Accent3" xfId="225" builtinId="38" customBuiltin="1"/>
    <cellStyle name="20% - Accent3 2" xfId="21" xr:uid="{00000000-0005-0000-0000-000050000000}"/>
    <cellStyle name="20% - Accent3 3" xfId="252" xr:uid="{00000000-0005-0000-0000-000051000000}"/>
    <cellStyle name="20% - Accent3 3 2" xfId="376" xr:uid="{00000000-0005-0000-0000-000052000000}"/>
    <cellStyle name="20% - Accent3 3 2 2" xfId="1161" xr:uid="{00000000-0005-0000-0000-000053000000}"/>
    <cellStyle name="20% - Accent3 3 2 2 2" xfId="2207" xr:uid="{00000000-0005-0000-0000-000054000000}"/>
    <cellStyle name="20% - Accent3 3 2 3" xfId="895" xr:uid="{00000000-0005-0000-0000-000055000000}"/>
    <cellStyle name="20% - Accent3 3 2 3 2" xfId="1941" xr:uid="{00000000-0005-0000-0000-000056000000}"/>
    <cellStyle name="20% - Accent3 3 2 4" xfId="624" xr:uid="{00000000-0005-0000-0000-000057000000}"/>
    <cellStyle name="20% - Accent3 3 2 4 2" xfId="1675" xr:uid="{00000000-0005-0000-0000-000058000000}"/>
    <cellStyle name="20% - Accent3 3 2 5" xfId="1427" xr:uid="{00000000-0005-0000-0000-000059000000}"/>
    <cellStyle name="20% - Accent3 3 3" xfId="1037" xr:uid="{00000000-0005-0000-0000-00005A000000}"/>
    <cellStyle name="20% - Accent3 3 3 2" xfId="2083" xr:uid="{00000000-0005-0000-0000-00005B000000}"/>
    <cellStyle name="20% - Accent3 3 4" xfId="771" xr:uid="{00000000-0005-0000-0000-00005C000000}"/>
    <cellStyle name="20% - Accent3 3 4 2" xfId="1817" xr:uid="{00000000-0005-0000-0000-00005D000000}"/>
    <cellStyle name="20% - Accent3 3 5" xfId="500" xr:uid="{00000000-0005-0000-0000-00005E000000}"/>
    <cellStyle name="20% - Accent3 3 5 2" xfId="1551" xr:uid="{00000000-0005-0000-0000-00005F000000}"/>
    <cellStyle name="20% - Accent3 3 6" xfId="1303" xr:uid="{00000000-0005-0000-0000-000060000000}"/>
    <cellStyle name="20% - Accent3 4" xfId="358" xr:uid="{00000000-0005-0000-0000-000061000000}"/>
    <cellStyle name="20% - Accent3 4 2" xfId="1143" xr:uid="{00000000-0005-0000-0000-000062000000}"/>
    <cellStyle name="20% - Accent3 4 2 2" xfId="2189" xr:uid="{00000000-0005-0000-0000-000063000000}"/>
    <cellStyle name="20% - Accent3 4 3" xfId="877" xr:uid="{00000000-0005-0000-0000-000064000000}"/>
    <cellStyle name="20% - Accent3 4 3 2" xfId="1923" xr:uid="{00000000-0005-0000-0000-000065000000}"/>
    <cellStyle name="20% - Accent3 4 4" xfId="606" xr:uid="{00000000-0005-0000-0000-000066000000}"/>
    <cellStyle name="20% - Accent3 4 4 2" xfId="1657" xr:uid="{00000000-0005-0000-0000-000067000000}"/>
    <cellStyle name="20% - Accent3 4 5" xfId="1409" xr:uid="{00000000-0005-0000-0000-000068000000}"/>
    <cellStyle name="20% - Accent3 5" xfId="638" xr:uid="{00000000-0005-0000-0000-000069000000}"/>
    <cellStyle name="20% - Accent3 5 2" xfId="1175" xr:uid="{00000000-0005-0000-0000-00006A000000}"/>
    <cellStyle name="20% - Accent3 5 2 2" xfId="2221" xr:uid="{00000000-0005-0000-0000-00006B000000}"/>
    <cellStyle name="20% - Accent3 5 3" xfId="909" xr:uid="{00000000-0005-0000-0000-00006C000000}"/>
    <cellStyle name="20% - Accent3 5 3 2" xfId="1955" xr:uid="{00000000-0005-0000-0000-00006D000000}"/>
    <cellStyle name="20% - Accent3 5 4" xfId="1689" xr:uid="{00000000-0005-0000-0000-00006E000000}"/>
    <cellStyle name="20% - Accent3 6" xfId="1019" xr:uid="{00000000-0005-0000-0000-00006F000000}"/>
    <cellStyle name="20% - Accent3 6 2" xfId="2065" xr:uid="{00000000-0005-0000-0000-000070000000}"/>
    <cellStyle name="20% - Accent3 7" xfId="753" xr:uid="{00000000-0005-0000-0000-000071000000}"/>
    <cellStyle name="20% - Accent3 7 2" xfId="1799" xr:uid="{00000000-0005-0000-0000-000072000000}"/>
    <cellStyle name="20% - Accent3 8" xfId="482" xr:uid="{00000000-0005-0000-0000-000073000000}"/>
    <cellStyle name="20% - Accent3 8 2" xfId="1533" xr:uid="{00000000-0005-0000-0000-000074000000}"/>
    <cellStyle name="20% - Accent3 9" xfId="1285" xr:uid="{00000000-0005-0000-0000-000075000000}"/>
    <cellStyle name="20% - Accent4" xfId="229" builtinId="42" customBuiltin="1"/>
    <cellStyle name="20% - Accent4 2" xfId="22" xr:uid="{00000000-0005-0000-0000-000077000000}"/>
    <cellStyle name="20% - Accent4 3" xfId="254" xr:uid="{00000000-0005-0000-0000-000078000000}"/>
    <cellStyle name="20% - Accent4 3 2" xfId="378" xr:uid="{00000000-0005-0000-0000-000079000000}"/>
    <cellStyle name="20% - Accent4 3 2 2" xfId="1163" xr:uid="{00000000-0005-0000-0000-00007A000000}"/>
    <cellStyle name="20% - Accent4 3 2 2 2" xfId="2209" xr:uid="{00000000-0005-0000-0000-00007B000000}"/>
    <cellStyle name="20% - Accent4 3 2 3" xfId="897" xr:uid="{00000000-0005-0000-0000-00007C000000}"/>
    <cellStyle name="20% - Accent4 3 2 3 2" xfId="1943" xr:uid="{00000000-0005-0000-0000-00007D000000}"/>
    <cellStyle name="20% - Accent4 3 2 4" xfId="626" xr:uid="{00000000-0005-0000-0000-00007E000000}"/>
    <cellStyle name="20% - Accent4 3 2 4 2" xfId="1677" xr:uid="{00000000-0005-0000-0000-00007F000000}"/>
    <cellStyle name="20% - Accent4 3 2 5" xfId="1429" xr:uid="{00000000-0005-0000-0000-000080000000}"/>
    <cellStyle name="20% - Accent4 3 3" xfId="1039" xr:uid="{00000000-0005-0000-0000-000081000000}"/>
    <cellStyle name="20% - Accent4 3 3 2" xfId="2085" xr:uid="{00000000-0005-0000-0000-000082000000}"/>
    <cellStyle name="20% - Accent4 3 4" xfId="773" xr:uid="{00000000-0005-0000-0000-000083000000}"/>
    <cellStyle name="20% - Accent4 3 4 2" xfId="1819" xr:uid="{00000000-0005-0000-0000-000084000000}"/>
    <cellStyle name="20% - Accent4 3 5" xfId="502" xr:uid="{00000000-0005-0000-0000-000085000000}"/>
    <cellStyle name="20% - Accent4 3 5 2" xfId="1553" xr:uid="{00000000-0005-0000-0000-000086000000}"/>
    <cellStyle name="20% - Accent4 3 6" xfId="1305" xr:uid="{00000000-0005-0000-0000-000087000000}"/>
    <cellStyle name="20% - Accent4 4" xfId="360" xr:uid="{00000000-0005-0000-0000-000088000000}"/>
    <cellStyle name="20% - Accent4 4 2" xfId="1145" xr:uid="{00000000-0005-0000-0000-000089000000}"/>
    <cellStyle name="20% - Accent4 4 2 2" xfId="2191" xr:uid="{00000000-0005-0000-0000-00008A000000}"/>
    <cellStyle name="20% - Accent4 4 3" xfId="879" xr:uid="{00000000-0005-0000-0000-00008B000000}"/>
    <cellStyle name="20% - Accent4 4 3 2" xfId="1925" xr:uid="{00000000-0005-0000-0000-00008C000000}"/>
    <cellStyle name="20% - Accent4 4 4" xfId="608" xr:uid="{00000000-0005-0000-0000-00008D000000}"/>
    <cellStyle name="20% - Accent4 4 4 2" xfId="1659" xr:uid="{00000000-0005-0000-0000-00008E000000}"/>
    <cellStyle name="20% - Accent4 4 5" xfId="1411" xr:uid="{00000000-0005-0000-0000-00008F000000}"/>
    <cellStyle name="20% - Accent4 5" xfId="640" xr:uid="{00000000-0005-0000-0000-000090000000}"/>
    <cellStyle name="20% - Accent4 5 2" xfId="1177" xr:uid="{00000000-0005-0000-0000-000091000000}"/>
    <cellStyle name="20% - Accent4 5 2 2" xfId="2223" xr:uid="{00000000-0005-0000-0000-000092000000}"/>
    <cellStyle name="20% - Accent4 5 3" xfId="911" xr:uid="{00000000-0005-0000-0000-000093000000}"/>
    <cellStyle name="20% - Accent4 5 3 2" xfId="1957" xr:uid="{00000000-0005-0000-0000-000094000000}"/>
    <cellStyle name="20% - Accent4 5 4" xfId="1691" xr:uid="{00000000-0005-0000-0000-000095000000}"/>
    <cellStyle name="20% - Accent4 6" xfId="1021" xr:uid="{00000000-0005-0000-0000-000096000000}"/>
    <cellStyle name="20% - Accent4 6 2" xfId="2067" xr:uid="{00000000-0005-0000-0000-000097000000}"/>
    <cellStyle name="20% - Accent4 7" xfId="755" xr:uid="{00000000-0005-0000-0000-000098000000}"/>
    <cellStyle name="20% - Accent4 7 2" xfId="1801" xr:uid="{00000000-0005-0000-0000-000099000000}"/>
    <cellStyle name="20% - Accent4 8" xfId="484" xr:uid="{00000000-0005-0000-0000-00009A000000}"/>
    <cellStyle name="20% - Accent4 8 2" xfId="1535" xr:uid="{00000000-0005-0000-0000-00009B000000}"/>
    <cellStyle name="20% - Accent4 9" xfId="1287" xr:uid="{00000000-0005-0000-0000-00009C000000}"/>
    <cellStyle name="20% - Accent5" xfId="233" builtinId="46" customBuiltin="1"/>
    <cellStyle name="20% - Accent5 2" xfId="23" xr:uid="{00000000-0005-0000-0000-00009E000000}"/>
    <cellStyle name="20% - Accent5 3" xfId="256" xr:uid="{00000000-0005-0000-0000-00009F000000}"/>
    <cellStyle name="20% - Accent5 3 2" xfId="380" xr:uid="{00000000-0005-0000-0000-0000A0000000}"/>
    <cellStyle name="20% - Accent5 3 2 2" xfId="1165" xr:uid="{00000000-0005-0000-0000-0000A1000000}"/>
    <cellStyle name="20% - Accent5 3 2 2 2" xfId="2211" xr:uid="{00000000-0005-0000-0000-0000A2000000}"/>
    <cellStyle name="20% - Accent5 3 2 3" xfId="899" xr:uid="{00000000-0005-0000-0000-0000A3000000}"/>
    <cellStyle name="20% - Accent5 3 2 3 2" xfId="1945" xr:uid="{00000000-0005-0000-0000-0000A4000000}"/>
    <cellStyle name="20% - Accent5 3 2 4" xfId="628" xr:uid="{00000000-0005-0000-0000-0000A5000000}"/>
    <cellStyle name="20% - Accent5 3 2 4 2" xfId="1679" xr:uid="{00000000-0005-0000-0000-0000A6000000}"/>
    <cellStyle name="20% - Accent5 3 2 5" xfId="1431" xr:uid="{00000000-0005-0000-0000-0000A7000000}"/>
    <cellStyle name="20% - Accent5 3 3" xfId="1041" xr:uid="{00000000-0005-0000-0000-0000A8000000}"/>
    <cellStyle name="20% - Accent5 3 3 2" xfId="2087" xr:uid="{00000000-0005-0000-0000-0000A9000000}"/>
    <cellStyle name="20% - Accent5 3 4" xfId="775" xr:uid="{00000000-0005-0000-0000-0000AA000000}"/>
    <cellStyle name="20% - Accent5 3 4 2" xfId="1821" xr:uid="{00000000-0005-0000-0000-0000AB000000}"/>
    <cellStyle name="20% - Accent5 3 5" xfId="504" xr:uid="{00000000-0005-0000-0000-0000AC000000}"/>
    <cellStyle name="20% - Accent5 3 5 2" xfId="1555" xr:uid="{00000000-0005-0000-0000-0000AD000000}"/>
    <cellStyle name="20% - Accent5 3 6" xfId="1307" xr:uid="{00000000-0005-0000-0000-0000AE000000}"/>
    <cellStyle name="20% - Accent5 4" xfId="362" xr:uid="{00000000-0005-0000-0000-0000AF000000}"/>
    <cellStyle name="20% - Accent5 4 2" xfId="1147" xr:uid="{00000000-0005-0000-0000-0000B0000000}"/>
    <cellStyle name="20% - Accent5 4 2 2" xfId="2193" xr:uid="{00000000-0005-0000-0000-0000B1000000}"/>
    <cellStyle name="20% - Accent5 4 3" xfId="881" xr:uid="{00000000-0005-0000-0000-0000B2000000}"/>
    <cellStyle name="20% - Accent5 4 3 2" xfId="1927" xr:uid="{00000000-0005-0000-0000-0000B3000000}"/>
    <cellStyle name="20% - Accent5 4 4" xfId="610" xr:uid="{00000000-0005-0000-0000-0000B4000000}"/>
    <cellStyle name="20% - Accent5 4 4 2" xfId="1661" xr:uid="{00000000-0005-0000-0000-0000B5000000}"/>
    <cellStyle name="20% - Accent5 4 5" xfId="1413" xr:uid="{00000000-0005-0000-0000-0000B6000000}"/>
    <cellStyle name="20% - Accent5 5" xfId="642" xr:uid="{00000000-0005-0000-0000-0000B7000000}"/>
    <cellStyle name="20% - Accent5 5 2" xfId="1179" xr:uid="{00000000-0005-0000-0000-0000B8000000}"/>
    <cellStyle name="20% - Accent5 5 2 2" xfId="2225" xr:uid="{00000000-0005-0000-0000-0000B9000000}"/>
    <cellStyle name="20% - Accent5 5 3" xfId="913" xr:uid="{00000000-0005-0000-0000-0000BA000000}"/>
    <cellStyle name="20% - Accent5 5 3 2" xfId="1959" xr:uid="{00000000-0005-0000-0000-0000BB000000}"/>
    <cellStyle name="20% - Accent5 5 4" xfId="1693" xr:uid="{00000000-0005-0000-0000-0000BC000000}"/>
    <cellStyle name="20% - Accent5 6" xfId="1023" xr:uid="{00000000-0005-0000-0000-0000BD000000}"/>
    <cellStyle name="20% - Accent5 6 2" xfId="2069" xr:uid="{00000000-0005-0000-0000-0000BE000000}"/>
    <cellStyle name="20% - Accent5 7" xfId="757" xr:uid="{00000000-0005-0000-0000-0000BF000000}"/>
    <cellStyle name="20% - Accent5 7 2" xfId="1803" xr:uid="{00000000-0005-0000-0000-0000C0000000}"/>
    <cellStyle name="20% - Accent5 8" xfId="486" xr:uid="{00000000-0005-0000-0000-0000C1000000}"/>
    <cellStyle name="20% - Accent5 8 2" xfId="1537" xr:uid="{00000000-0005-0000-0000-0000C2000000}"/>
    <cellStyle name="20% - Accent5 9" xfId="1289" xr:uid="{00000000-0005-0000-0000-0000C3000000}"/>
    <cellStyle name="20% - Accent6" xfId="237" builtinId="50" customBuiltin="1"/>
    <cellStyle name="20% - Accent6 2" xfId="24" xr:uid="{00000000-0005-0000-0000-0000C5000000}"/>
    <cellStyle name="20% - Accent6 3" xfId="258" xr:uid="{00000000-0005-0000-0000-0000C6000000}"/>
    <cellStyle name="20% - Accent6 3 2" xfId="382" xr:uid="{00000000-0005-0000-0000-0000C7000000}"/>
    <cellStyle name="20% - Accent6 3 2 2" xfId="1167" xr:uid="{00000000-0005-0000-0000-0000C8000000}"/>
    <cellStyle name="20% - Accent6 3 2 2 2" xfId="2213" xr:uid="{00000000-0005-0000-0000-0000C9000000}"/>
    <cellStyle name="20% - Accent6 3 2 3" xfId="901" xr:uid="{00000000-0005-0000-0000-0000CA000000}"/>
    <cellStyle name="20% - Accent6 3 2 3 2" xfId="1947" xr:uid="{00000000-0005-0000-0000-0000CB000000}"/>
    <cellStyle name="20% - Accent6 3 2 4" xfId="630" xr:uid="{00000000-0005-0000-0000-0000CC000000}"/>
    <cellStyle name="20% - Accent6 3 2 4 2" xfId="1681" xr:uid="{00000000-0005-0000-0000-0000CD000000}"/>
    <cellStyle name="20% - Accent6 3 2 5" xfId="1433" xr:uid="{00000000-0005-0000-0000-0000CE000000}"/>
    <cellStyle name="20% - Accent6 3 3" xfId="1043" xr:uid="{00000000-0005-0000-0000-0000CF000000}"/>
    <cellStyle name="20% - Accent6 3 3 2" xfId="2089" xr:uid="{00000000-0005-0000-0000-0000D0000000}"/>
    <cellStyle name="20% - Accent6 3 4" xfId="777" xr:uid="{00000000-0005-0000-0000-0000D1000000}"/>
    <cellStyle name="20% - Accent6 3 4 2" xfId="1823" xr:uid="{00000000-0005-0000-0000-0000D2000000}"/>
    <cellStyle name="20% - Accent6 3 5" xfId="506" xr:uid="{00000000-0005-0000-0000-0000D3000000}"/>
    <cellStyle name="20% - Accent6 3 5 2" xfId="1557" xr:uid="{00000000-0005-0000-0000-0000D4000000}"/>
    <cellStyle name="20% - Accent6 3 6" xfId="1309" xr:uid="{00000000-0005-0000-0000-0000D5000000}"/>
    <cellStyle name="20% - Accent6 4" xfId="364" xr:uid="{00000000-0005-0000-0000-0000D6000000}"/>
    <cellStyle name="20% - Accent6 4 2" xfId="1149" xr:uid="{00000000-0005-0000-0000-0000D7000000}"/>
    <cellStyle name="20% - Accent6 4 2 2" xfId="2195" xr:uid="{00000000-0005-0000-0000-0000D8000000}"/>
    <cellStyle name="20% - Accent6 4 3" xfId="883" xr:uid="{00000000-0005-0000-0000-0000D9000000}"/>
    <cellStyle name="20% - Accent6 4 3 2" xfId="1929" xr:uid="{00000000-0005-0000-0000-0000DA000000}"/>
    <cellStyle name="20% - Accent6 4 4" xfId="612" xr:uid="{00000000-0005-0000-0000-0000DB000000}"/>
    <cellStyle name="20% - Accent6 4 4 2" xfId="1663" xr:uid="{00000000-0005-0000-0000-0000DC000000}"/>
    <cellStyle name="20% - Accent6 4 5" xfId="1415" xr:uid="{00000000-0005-0000-0000-0000DD000000}"/>
    <cellStyle name="20% - Accent6 5" xfId="644" xr:uid="{00000000-0005-0000-0000-0000DE000000}"/>
    <cellStyle name="20% - Accent6 5 2" xfId="1181" xr:uid="{00000000-0005-0000-0000-0000DF000000}"/>
    <cellStyle name="20% - Accent6 5 2 2" xfId="2227" xr:uid="{00000000-0005-0000-0000-0000E0000000}"/>
    <cellStyle name="20% - Accent6 5 3" xfId="915" xr:uid="{00000000-0005-0000-0000-0000E1000000}"/>
    <cellStyle name="20% - Accent6 5 3 2" xfId="1961" xr:uid="{00000000-0005-0000-0000-0000E2000000}"/>
    <cellStyle name="20% - Accent6 5 4" xfId="1695" xr:uid="{00000000-0005-0000-0000-0000E3000000}"/>
    <cellStyle name="20% - Accent6 6" xfId="1025" xr:uid="{00000000-0005-0000-0000-0000E4000000}"/>
    <cellStyle name="20% - Accent6 6 2" xfId="2071" xr:uid="{00000000-0005-0000-0000-0000E5000000}"/>
    <cellStyle name="20% - Accent6 7" xfId="759" xr:uid="{00000000-0005-0000-0000-0000E6000000}"/>
    <cellStyle name="20% - Accent6 7 2" xfId="1805" xr:uid="{00000000-0005-0000-0000-0000E7000000}"/>
    <cellStyle name="20% - Accent6 8" xfId="488" xr:uid="{00000000-0005-0000-0000-0000E8000000}"/>
    <cellStyle name="20% - Accent6 8 2" xfId="1539" xr:uid="{00000000-0005-0000-0000-0000E9000000}"/>
    <cellStyle name="20% - Accent6 9" xfId="1291" xr:uid="{00000000-0005-0000-0000-0000EA000000}"/>
    <cellStyle name="40% - Accent1" xfId="218" builtinId="31" customBuiltin="1"/>
    <cellStyle name="40% - Accent1 2" xfId="25" xr:uid="{00000000-0005-0000-0000-0000EC000000}"/>
    <cellStyle name="40% - Accent1 3" xfId="249" xr:uid="{00000000-0005-0000-0000-0000ED000000}"/>
    <cellStyle name="40% - Accent1 3 2" xfId="373" xr:uid="{00000000-0005-0000-0000-0000EE000000}"/>
    <cellStyle name="40% - Accent1 3 2 2" xfId="1158" xr:uid="{00000000-0005-0000-0000-0000EF000000}"/>
    <cellStyle name="40% - Accent1 3 2 2 2" xfId="2204" xr:uid="{00000000-0005-0000-0000-0000F0000000}"/>
    <cellStyle name="40% - Accent1 3 2 3" xfId="892" xr:uid="{00000000-0005-0000-0000-0000F1000000}"/>
    <cellStyle name="40% - Accent1 3 2 3 2" xfId="1938" xr:uid="{00000000-0005-0000-0000-0000F2000000}"/>
    <cellStyle name="40% - Accent1 3 2 4" xfId="621" xr:uid="{00000000-0005-0000-0000-0000F3000000}"/>
    <cellStyle name="40% - Accent1 3 2 4 2" xfId="1672" xr:uid="{00000000-0005-0000-0000-0000F4000000}"/>
    <cellStyle name="40% - Accent1 3 2 5" xfId="1424" xr:uid="{00000000-0005-0000-0000-0000F5000000}"/>
    <cellStyle name="40% - Accent1 3 3" xfId="1034" xr:uid="{00000000-0005-0000-0000-0000F6000000}"/>
    <cellStyle name="40% - Accent1 3 3 2" xfId="2080" xr:uid="{00000000-0005-0000-0000-0000F7000000}"/>
    <cellStyle name="40% - Accent1 3 4" xfId="768" xr:uid="{00000000-0005-0000-0000-0000F8000000}"/>
    <cellStyle name="40% - Accent1 3 4 2" xfId="1814" xr:uid="{00000000-0005-0000-0000-0000F9000000}"/>
    <cellStyle name="40% - Accent1 3 5" xfId="497" xr:uid="{00000000-0005-0000-0000-0000FA000000}"/>
    <cellStyle name="40% - Accent1 3 5 2" xfId="1548" xr:uid="{00000000-0005-0000-0000-0000FB000000}"/>
    <cellStyle name="40% - Accent1 3 6" xfId="1300" xr:uid="{00000000-0005-0000-0000-0000FC000000}"/>
    <cellStyle name="40% - Accent1 4" xfId="355" xr:uid="{00000000-0005-0000-0000-0000FD000000}"/>
    <cellStyle name="40% - Accent1 4 2" xfId="1140" xr:uid="{00000000-0005-0000-0000-0000FE000000}"/>
    <cellStyle name="40% - Accent1 4 2 2" xfId="2186" xr:uid="{00000000-0005-0000-0000-0000FF000000}"/>
    <cellStyle name="40% - Accent1 4 3" xfId="874" xr:uid="{00000000-0005-0000-0000-000000010000}"/>
    <cellStyle name="40% - Accent1 4 3 2" xfId="1920" xr:uid="{00000000-0005-0000-0000-000001010000}"/>
    <cellStyle name="40% - Accent1 4 4" xfId="603" xr:uid="{00000000-0005-0000-0000-000002010000}"/>
    <cellStyle name="40% - Accent1 4 4 2" xfId="1654" xr:uid="{00000000-0005-0000-0000-000003010000}"/>
    <cellStyle name="40% - Accent1 4 5" xfId="1406" xr:uid="{00000000-0005-0000-0000-000004010000}"/>
    <cellStyle name="40% - Accent1 5" xfId="635" xr:uid="{00000000-0005-0000-0000-000005010000}"/>
    <cellStyle name="40% - Accent1 5 2" xfId="1172" xr:uid="{00000000-0005-0000-0000-000006010000}"/>
    <cellStyle name="40% - Accent1 5 2 2" xfId="2218" xr:uid="{00000000-0005-0000-0000-000007010000}"/>
    <cellStyle name="40% - Accent1 5 3" xfId="906" xr:uid="{00000000-0005-0000-0000-000008010000}"/>
    <cellStyle name="40% - Accent1 5 3 2" xfId="1952" xr:uid="{00000000-0005-0000-0000-000009010000}"/>
    <cellStyle name="40% - Accent1 5 4" xfId="1686" xr:uid="{00000000-0005-0000-0000-00000A010000}"/>
    <cellStyle name="40% - Accent1 6" xfId="1016" xr:uid="{00000000-0005-0000-0000-00000B010000}"/>
    <cellStyle name="40% - Accent1 6 2" xfId="2062" xr:uid="{00000000-0005-0000-0000-00000C010000}"/>
    <cellStyle name="40% - Accent1 7" xfId="750" xr:uid="{00000000-0005-0000-0000-00000D010000}"/>
    <cellStyle name="40% - Accent1 7 2" xfId="1796" xr:uid="{00000000-0005-0000-0000-00000E010000}"/>
    <cellStyle name="40% - Accent1 8" xfId="479" xr:uid="{00000000-0005-0000-0000-00000F010000}"/>
    <cellStyle name="40% - Accent1 8 2" xfId="1530" xr:uid="{00000000-0005-0000-0000-000010010000}"/>
    <cellStyle name="40% - Accent1 9" xfId="1282" xr:uid="{00000000-0005-0000-0000-000011010000}"/>
    <cellStyle name="40% - Accent2" xfId="222" builtinId="35" customBuiltin="1"/>
    <cellStyle name="40% - Accent2 2" xfId="26" xr:uid="{00000000-0005-0000-0000-000013010000}"/>
    <cellStyle name="40% - Accent2 3" xfId="251" xr:uid="{00000000-0005-0000-0000-000014010000}"/>
    <cellStyle name="40% - Accent2 3 2" xfId="375" xr:uid="{00000000-0005-0000-0000-000015010000}"/>
    <cellStyle name="40% - Accent2 3 2 2" xfId="1160" xr:uid="{00000000-0005-0000-0000-000016010000}"/>
    <cellStyle name="40% - Accent2 3 2 2 2" xfId="2206" xr:uid="{00000000-0005-0000-0000-000017010000}"/>
    <cellStyle name="40% - Accent2 3 2 3" xfId="894" xr:uid="{00000000-0005-0000-0000-000018010000}"/>
    <cellStyle name="40% - Accent2 3 2 3 2" xfId="1940" xr:uid="{00000000-0005-0000-0000-000019010000}"/>
    <cellStyle name="40% - Accent2 3 2 4" xfId="623" xr:uid="{00000000-0005-0000-0000-00001A010000}"/>
    <cellStyle name="40% - Accent2 3 2 4 2" xfId="1674" xr:uid="{00000000-0005-0000-0000-00001B010000}"/>
    <cellStyle name="40% - Accent2 3 2 5" xfId="1426" xr:uid="{00000000-0005-0000-0000-00001C010000}"/>
    <cellStyle name="40% - Accent2 3 3" xfId="1036" xr:uid="{00000000-0005-0000-0000-00001D010000}"/>
    <cellStyle name="40% - Accent2 3 3 2" xfId="2082" xr:uid="{00000000-0005-0000-0000-00001E010000}"/>
    <cellStyle name="40% - Accent2 3 4" xfId="770" xr:uid="{00000000-0005-0000-0000-00001F010000}"/>
    <cellStyle name="40% - Accent2 3 4 2" xfId="1816" xr:uid="{00000000-0005-0000-0000-000020010000}"/>
    <cellStyle name="40% - Accent2 3 5" xfId="499" xr:uid="{00000000-0005-0000-0000-000021010000}"/>
    <cellStyle name="40% - Accent2 3 5 2" xfId="1550" xr:uid="{00000000-0005-0000-0000-000022010000}"/>
    <cellStyle name="40% - Accent2 3 6" xfId="1302" xr:uid="{00000000-0005-0000-0000-000023010000}"/>
    <cellStyle name="40% - Accent2 4" xfId="357" xr:uid="{00000000-0005-0000-0000-000024010000}"/>
    <cellStyle name="40% - Accent2 4 2" xfId="1142" xr:uid="{00000000-0005-0000-0000-000025010000}"/>
    <cellStyle name="40% - Accent2 4 2 2" xfId="2188" xr:uid="{00000000-0005-0000-0000-000026010000}"/>
    <cellStyle name="40% - Accent2 4 3" xfId="876" xr:uid="{00000000-0005-0000-0000-000027010000}"/>
    <cellStyle name="40% - Accent2 4 3 2" xfId="1922" xr:uid="{00000000-0005-0000-0000-000028010000}"/>
    <cellStyle name="40% - Accent2 4 4" xfId="605" xr:uid="{00000000-0005-0000-0000-000029010000}"/>
    <cellStyle name="40% - Accent2 4 4 2" xfId="1656" xr:uid="{00000000-0005-0000-0000-00002A010000}"/>
    <cellStyle name="40% - Accent2 4 5" xfId="1408" xr:uid="{00000000-0005-0000-0000-00002B010000}"/>
    <cellStyle name="40% - Accent2 5" xfId="637" xr:uid="{00000000-0005-0000-0000-00002C010000}"/>
    <cellStyle name="40% - Accent2 5 2" xfId="1174" xr:uid="{00000000-0005-0000-0000-00002D010000}"/>
    <cellStyle name="40% - Accent2 5 2 2" xfId="2220" xr:uid="{00000000-0005-0000-0000-00002E010000}"/>
    <cellStyle name="40% - Accent2 5 3" xfId="908" xr:uid="{00000000-0005-0000-0000-00002F010000}"/>
    <cellStyle name="40% - Accent2 5 3 2" xfId="1954" xr:uid="{00000000-0005-0000-0000-000030010000}"/>
    <cellStyle name="40% - Accent2 5 4" xfId="1688" xr:uid="{00000000-0005-0000-0000-000031010000}"/>
    <cellStyle name="40% - Accent2 6" xfId="1018" xr:uid="{00000000-0005-0000-0000-000032010000}"/>
    <cellStyle name="40% - Accent2 6 2" xfId="2064" xr:uid="{00000000-0005-0000-0000-000033010000}"/>
    <cellStyle name="40% - Accent2 7" xfId="752" xr:uid="{00000000-0005-0000-0000-000034010000}"/>
    <cellStyle name="40% - Accent2 7 2" xfId="1798" xr:uid="{00000000-0005-0000-0000-000035010000}"/>
    <cellStyle name="40% - Accent2 8" xfId="481" xr:uid="{00000000-0005-0000-0000-000036010000}"/>
    <cellStyle name="40% - Accent2 8 2" xfId="1532" xr:uid="{00000000-0005-0000-0000-000037010000}"/>
    <cellStyle name="40% - Accent2 9" xfId="1284" xr:uid="{00000000-0005-0000-0000-000038010000}"/>
    <cellStyle name="40% - Accent3" xfId="226" builtinId="39" customBuiltin="1"/>
    <cellStyle name="40% - Accent3 2" xfId="27" xr:uid="{00000000-0005-0000-0000-00003A010000}"/>
    <cellStyle name="40% - Accent3 3" xfId="253" xr:uid="{00000000-0005-0000-0000-00003B010000}"/>
    <cellStyle name="40% - Accent3 3 2" xfId="377" xr:uid="{00000000-0005-0000-0000-00003C010000}"/>
    <cellStyle name="40% - Accent3 3 2 2" xfId="1162" xr:uid="{00000000-0005-0000-0000-00003D010000}"/>
    <cellStyle name="40% - Accent3 3 2 2 2" xfId="2208" xr:uid="{00000000-0005-0000-0000-00003E010000}"/>
    <cellStyle name="40% - Accent3 3 2 3" xfId="896" xr:uid="{00000000-0005-0000-0000-00003F010000}"/>
    <cellStyle name="40% - Accent3 3 2 3 2" xfId="1942" xr:uid="{00000000-0005-0000-0000-000040010000}"/>
    <cellStyle name="40% - Accent3 3 2 4" xfId="625" xr:uid="{00000000-0005-0000-0000-000041010000}"/>
    <cellStyle name="40% - Accent3 3 2 4 2" xfId="1676" xr:uid="{00000000-0005-0000-0000-000042010000}"/>
    <cellStyle name="40% - Accent3 3 2 5" xfId="1428" xr:uid="{00000000-0005-0000-0000-000043010000}"/>
    <cellStyle name="40% - Accent3 3 3" xfId="1038" xr:uid="{00000000-0005-0000-0000-000044010000}"/>
    <cellStyle name="40% - Accent3 3 3 2" xfId="2084" xr:uid="{00000000-0005-0000-0000-000045010000}"/>
    <cellStyle name="40% - Accent3 3 4" xfId="772" xr:uid="{00000000-0005-0000-0000-000046010000}"/>
    <cellStyle name="40% - Accent3 3 4 2" xfId="1818" xr:uid="{00000000-0005-0000-0000-000047010000}"/>
    <cellStyle name="40% - Accent3 3 5" xfId="501" xr:uid="{00000000-0005-0000-0000-000048010000}"/>
    <cellStyle name="40% - Accent3 3 5 2" xfId="1552" xr:uid="{00000000-0005-0000-0000-000049010000}"/>
    <cellStyle name="40% - Accent3 3 6" xfId="1304" xr:uid="{00000000-0005-0000-0000-00004A010000}"/>
    <cellStyle name="40% - Accent3 4" xfId="359" xr:uid="{00000000-0005-0000-0000-00004B010000}"/>
    <cellStyle name="40% - Accent3 4 2" xfId="1144" xr:uid="{00000000-0005-0000-0000-00004C010000}"/>
    <cellStyle name="40% - Accent3 4 2 2" xfId="2190" xr:uid="{00000000-0005-0000-0000-00004D010000}"/>
    <cellStyle name="40% - Accent3 4 3" xfId="878" xr:uid="{00000000-0005-0000-0000-00004E010000}"/>
    <cellStyle name="40% - Accent3 4 3 2" xfId="1924" xr:uid="{00000000-0005-0000-0000-00004F010000}"/>
    <cellStyle name="40% - Accent3 4 4" xfId="607" xr:uid="{00000000-0005-0000-0000-000050010000}"/>
    <cellStyle name="40% - Accent3 4 4 2" xfId="1658" xr:uid="{00000000-0005-0000-0000-000051010000}"/>
    <cellStyle name="40% - Accent3 4 5" xfId="1410" xr:uid="{00000000-0005-0000-0000-000052010000}"/>
    <cellStyle name="40% - Accent3 5" xfId="639" xr:uid="{00000000-0005-0000-0000-000053010000}"/>
    <cellStyle name="40% - Accent3 5 2" xfId="1176" xr:uid="{00000000-0005-0000-0000-000054010000}"/>
    <cellStyle name="40% - Accent3 5 2 2" xfId="2222" xr:uid="{00000000-0005-0000-0000-000055010000}"/>
    <cellStyle name="40% - Accent3 5 3" xfId="910" xr:uid="{00000000-0005-0000-0000-000056010000}"/>
    <cellStyle name="40% - Accent3 5 3 2" xfId="1956" xr:uid="{00000000-0005-0000-0000-000057010000}"/>
    <cellStyle name="40% - Accent3 5 4" xfId="1690" xr:uid="{00000000-0005-0000-0000-000058010000}"/>
    <cellStyle name="40% - Accent3 6" xfId="1020" xr:uid="{00000000-0005-0000-0000-000059010000}"/>
    <cellStyle name="40% - Accent3 6 2" xfId="2066" xr:uid="{00000000-0005-0000-0000-00005A010000}"/>
    <cellStyle name="40% - Accent3 7" xfId="754" xr:uid="{00000000-0005-0000-0000-00005B010000}"/>
    <cellStyle name="40% - Accent3 7 2" xfId="1800" xr:uid="{00000000-0005-0000-0000-00005C010000}"/>
    <cellStyle name="40% - Accent3 8" xfId="483" xr:uid="{00000000-0005-0000-0000-00005D010000}"/>
    <cellStyle name="40% - Accent3 8 2" xfId="1534" xr:uid="{00000000-0005-0000-0000-00005E010000}"/>
    <cellStyle name="40% - Accent3 9" xfId="1286" xr:uid="{00000000-0005-0000-0000-00005F010000}"/>
    <cellStyle name="40% - Accent4" xfId="230" builtinId="43" customBuiltin="1"/>
    <cellStyle name="40% - Accent4 2" xfId="28" xr:uid="{00000000-0005-0000-0000-000061010000}"/>
    <cellStyle name="40% - Accent4 3" xfId="255" xr:uid="{00000000-0005-0000-0000-000062010000}"/>
    <cellStyle name="40% - Accent4 3 2" xfId="379" xr:uid="{00000000-0005-0000-0000-000063010000}"/>
    <cellStyle name="40% - Accent4 3 2 2" xfId="1164" xr:uid="{00000000-0005-0000-0000-000064010000}"/>
    <cellStyle name="40% - Accent4 3 2 2 2" xfId="2210" xr:uid="{00000000-0005-0000-0000-000065010000}"/>
    <cellStyle name="40% - Accent4 3 2 3" xfId="898" xr:uid="{00000000-0005-0000-0000-000066010000}"/>
    <cellStyle name="40% - Accent4 3 2 3 2" xfId="1944" xr:uid="{00000000-0005-0000-0000-000067010000}"/>
    <cellStyle name="40% - Accent4 3 2 4" xfId="627" xr:uid="{00000000-0005-0000-0000-000068010000}"/>
    <cellStyle name="40% - Accent4 3 2 4 2" xfId="1678" xr:uid="{00000000-0005-0000-0000-000069010000}"/>
    <cellStyle name="40% - Accent4 3 2 5" xfId="1430" xr:uid="{00000000-0005-0000-0000-00006A010000}"/>
    <cellStyle name="40% - Accent4 3 3" xfId="1040" xr:uid="{00000000-0005-0000-0000-00006B010000}"/>
    <cellStyle name="40% - Accent4 3 3 2" xfId="2086" xr:uid="{00000000-0005-0000-0000-00006C010000}"/>
    <cellStyle name="40% - Accent4 3 4" xfId="774" xr:uid="{00000000-0005-0000-0000-00006D010000}"/>
    <cellStyle name="40% - Accent4 3 4 2" xfId="1820" xr:uid="{00000000-0005-0000-0000-00006E010000}"/>
    <cellStyle name="40% - Accent4 3 5" xfId="503" xr:uid="{00000000-0005-0000-0000-00006F010000}"/>
    <cellStyle name="40% - Accent4 3 5 2" xfId="1554" xr:uid="{00000000-0005-0000-0000-000070010000}"/>
    <cellStyle name="40% - Accent4 3 6" xfId="1306" xr:uid="{00000000-0005-0000-0000-000071010000}"/>
    <cellStyle name="40% - Accent4 4" xfId="361" xr:uid="{00000000-0005-0000-0000-000072010000}"/>
    <cellStyle name="40% - Accent4 4 2" xfId="1146" xr:uid="{00000000-0005-0000-0000-000073010000}"/>
    <cellStyle name="40% - Accent4 4 2 2" xfId="2192" xr:uid="{00000000-0005-0000-0000-000074010000}"/>
    <cellStyle name="40% - Accent4 4 3" xfId="880" xr:uid="{00000000-0005-0000-0000-000075010000}"/>
    <cellStyle name="40% - Accent4 4 3 2" xfId="1926" xr:uid="{00000000-0005-0000-0000-000076010000}"/>
    <cellStyle name="40% - Accent4 4 4" xfId="609" xr:uid="{00000000-0005-0000-0000-000077010000}"/>
    <cellStyle name="40% - Accent4 4 4 2" xfId="1660" xr:uid="{00000000-0005-0000-0000-000078010000}"/>
    <cellStyle name="40% - Accent4 4 5" xfId="1412" xr:uid="{00000000-0005-0000-0000-000079010000}"/>
    <cellStyle name="40% - Accent4 5" xfId="641" xr:uid="{00000000-0005-0000-0000-00007A010000}"/>
    <cellStyle name="40% - Accent4 5 2" xfId="1178" xr:uid="{00000000-0005-0000-0000-00007B010000}"/>
    <cellStyle name="40% - Accent4 5 2 2" xfId="2224" xr:uid="{00000000-0005-0000-0000-00007C010000}"/>
    <cellStyle name="40% - Accent4 5 3" xfId="912" xr:uid="{00000000-0005-0000-0000-00007D010000}"/>
    <cellStyle name="40% - Accent4 5 3 2" xfId="1958" xr:uid="{00000000-0005-0000-0000-00007E010000}"/>
    <cellStyle name="40% - Accent4 5 4" xfId="1692" xr:uid="{00000000-0005-0000-0000-00007F010000}"/>
    <cellStyle name="40% - Accent4 6" xfId="1022" xr:uid="{00000000-0005-0000-0000-000080010000}"/>
    <cellStyle name="40% - Accent4 6 2" xfId="2068" xr:uid="{00000000-0005-0000-0000-000081010000}"/>
    <cellStyle name="40% - Accent4 7" xfId="756" xr:uid="{00000000-0005-0000-0000-000082010000}"/>
    <cellStyle name="40% - Accent4 7 2" xfId="1802" xr:uid="{00000000-0005-0000-0000-000083010000}"/>
    <cellStyle name="40% - Accent4 8" xfId="485" xr:uid="{00000000-0005-0000-0000-000084010000}"/>
    <cellStyle name="40% - Accent4 8 2" xfId="1536" xr:uid="{00000000-0005-0000-0000-000085010000}"/>
    <cellStyle name="40% - Accent4 9" xfId="1288" xr:uid="{00000000-0005-0000-0000-000086010000}"/>
    <cellStyle name="40% - Accent5" xfId="234" builtinId="47" customBuiltin="1"/>
    <cellStyle name="40% - Accent5 2" xfId="29" xr:uid="{00000000-0005-0000-0000-000088010000}"/>
    <cellStyle name="40% - Accent5 3" xfId="257" xr:uid="{00000000-0005-0000-0000-000089010000}"/>
    <cellStyle name="40% - Accent5 3 2" xfId="381" xr:uid="{00000000-0005-0000-0000-00008A010000}"/>
    <cellStyle name="40% - Accent5 3 2 2" xfId="1166" xr:uid="{00000000-0005-0000-0000-00008B010000}"/>
    <cellStyle name="40% - Accent5 3 2 2 2" xfId="2212" xr:uid="{00000000-0005-0000-0000-00008C010000}"/>
    <cellStyle name="40% - Accent5 3 2 3" xfId="900" xr:uid="{00000000-0005-0000-0000-00008D010000}"/>
    <cellStyle name="40% - Accent5 3 2 3 2" xfId="1946" xr:uid="{00000000-0005-0000-0000-00008E010000}"/>
    <cellStyle name="40% - Accent5 3 2 4" xfId="629" xr:uid="{00000000-0005-0000-0000-00008F010000}"/>
    <cellStyle name="40% - Accent5 3 2 4 2" xfId="1680" xr:uid="{00000000-0005-0000-0000-000090010000}"/>
    <cellStyle name="40% - Accent5 3 2 5" xfId="1432" xr:uid="{00000000-0005-0000-0000-000091010000}"/>
    <cellStyle name="40% - Accent5 3 3" xfId="1042" xr:uid="{00000000-0005-0000-0000-000092010000}"/>
    <cellStyle name="40% - Accent5 3 3 2" xfId="2088" xr:uid="{00000000-0005-0000-0000-000093010000}"/>
    <cellStyle name="40% - Accent5 3 4" xfId="776" xr:uid="{00000000-0005-0000-0000-000094010000}"/>
    <cellStyle name="40% - Accent5 3 4 2" xfId="1822" xr:uid="{00000000-0005-0000-0000-000095010000}"/>
    <cellStyle name="40% - Accent5 3 5" xfId="505" xr:uid="{00000000-0005-0000-0000-000096010000}"/>
    <cellStyle name="40% - Accent5 3 5 2" xfId="1556" xr:uid="{00000000-0005-0000-0000-000097010000}"/>
    <cellStyle name="40% - Accent5 3 6" xfId="1308" xr:uid="{00000000-0005-0000-0000-000098010000}"/>
    <cellStyle name="40% - Accent5 4" xfId="363" xr:uid="{00000000-0005-0000-0000-000099010000}"/>
    <cellStyle name="40% - Accent5 4 2" xfId="1148" xr:uid="{00000000-0005-0000-0000-00009A010000}"/>
    <cellStyle name="40% - Accent5 4 2 2" xfId="2194" xr:uid="{00000000-0005-0000-0000-00009B010000}"/>
    <cellStyle name="40% - Accent5 4 3" xfId="882" xr:uid="{00000000-0005-0000-0000-00009C010000}"/>
    <cellStyle name="40% - Accent5 4 3 2" xfId="1928" xr:uid="{00000000-0005-0000-0000-00009D010000}"/>
    <cellStyle name="40% - Accent5 4 4" xfId="611" xr:uid="{00000000-0005-0000-0000-00009E010000}"/>
    <cellStyle name="40% - Accent5 4 4 2" xfId="1662" xr:uid="{00000000-0005-0000-0000-00009F010000}"/>
    <cellStyle name="40% - Accent5 4 5" xfId="1414" xr:uid="{00000000-0005-0000-0000-0000A0010000}"/>
    <cellStyle name="40% - Accent5 5" xfId="643" xr:uid="{00000000-0005-0000-0000-0000A1010000}"/>
    <cellStyle name="40% - Accent5 5 2" xfId="1180" xr:uid="{00000000-0005-0000-0000-0000A2010000}"/>
    <cellStyle name="40% - Accent5 5 2 2" xfId="2226" xr:uid="{00000000-0005-0000-0000-0000A3010000}"/>
    <cellStyle name="40% - Accent5 5 3" xfId="914" xr:uid="{00000000-0005-0000-0000-0000A4010000}"/>
    <cellStyle name="40% - Accent5 5 3 2" xfId="1960" xr:uid="{00000000-0005-0000-0000-0000A5010000}"/>
    <cellStyle name="40% - Accent5 5 4" xfId="1694" xr:uid="{00000000-0005-0000-0000-0000A6010000}"/>
    <cellStyle name="40% - Accent5 6" xfId="1024" xr:uid="{00000000-0005-0000-0000-0000A7010000}"/>
    <cellStyle name="40% - Accent5 6 2" xfId="2070" xr:uid="{00000000-0005-0000-0000-0000A8010000}"/>
    <cellStyle name="40% - Accent5 7" xfId="758" xr:uid="{00000000-0005-0000-0000-0000A9010000}"/>
    <cellStyle name="40% - Accent5 7 2" xfId="1804" xr:uid="{00000000-0005-0000-0000-0000AA010000}"/>
    <cellStyle name="40% - Accent5 8" xfId="487" xr:uid="{00000000-0005-0000-0000-0000AB010000}"/>
    <cellStyle name="40% - Accent5 8 2" xfId="1538" xr:uid="{00000000-0005-0000-0000-0000AC010000}"/>
    <cellStyle name="40% - Accent5 9" xfId="1290" xr:uid="{00000000-0005-0000-0000-0000AD010000}"/>
    <cellStyle name="40% - Accent6" xfId="238" builtinId="51" customBuiltin="1"/>
    <cellStyle name="40% - Accent6 2" xfId="30" xr:uid="{00000000-0005-0000-0000-0000AF010000}"/>
    <cellStyle name="40% - Accent6 3" xfId="259" xr:uid="{00000000-0005-0000-0000-0000B0010000}"/>
    <cellStyle name="40% - Accent6 3 2" xfId="383" xr:uid="{00000000-0005-0000-0000-0000B1010000}"/>
    <cellStyle name="40% - Accent6 3 2 2" xfId="1168" xr:uid="{00000000-0005-0000-0000-0000B2010000}"/>
    <cellStyle name="40% - Accent6 3 2 2 2" xfId="2214" xr:uid="{00000000-0005-0000-0000-0000B3010000}"/>
    <cellStyle name="40% - Accent6 3 2 3" xfId="902" xr:uid="{00000000-0005-0000-0000-0000B4010000}"/>
    <cellStyle name="40% - Accent6 3 2 3 2" xfId="1948" xr:uid="{00000000-0005-0000-0000-0000B5010000}"/>
    <cellStyle name="40% - Accent6 3 2 4" xfId="631" xr:uid="{00000000-0005-0000-0000-0000B6010000}"/>
    <cellStyle name="40% - Accent6 3 2 4 2" xfId="1682" xr:uid="{00000000-0005-0000-0000-0000B7010000}"/>
    <cellStyle name="40% - Accent6 3 2 5" xfId="1434" xr:uid="{00000000-0005-0000-0000-0000B8010000}"/>
    <cellStyle name="40% - Accent6 3 3" xfId="1044" xr:uid="{00000000-0005-0000-0000-0000B9010000}"/>
    <cellStyle name="40% - Accent6 3 3 2" xfId="2090" xr:uid="{00000000-0005-0000-0000-0000BA010000}"/>
    <cellStyle name="40% - Accent6 3 4" xfId="778" xr:uid="{00000000-0005-0000-0000-0000BB010000}"/>
    <cellStyle name="40% - Accent6 3 4 2" xfId="1824" xr:uid="{00000000-0005-0000-0000-0000BC010000}"/>
    <cellStyle name="40% - Accent6 3 5" xfId="507" xr:uid="{00000000-0005-0000-0000-0000BD010000}"/>
    <cellStyle name="40% - Accent6 3 5 2" xfId="1558" xr:uid="{00000000-0005-0000-0000-0000BE010000}"/>
    <cellStyle name="40% - Accent6 3 6" xfId="1310" xr:uid="{00000000-0005-0000-0000-0000BF010000}"/>
    <cellStyle name="40% - Accent6 4" xfId="365" xr:uid="{00000000-0005-0000-0000-0000C0010000}"/>
    <cellStyle name="40% - Accent6 4 2" xfId="1150" xr:uid="{00000000-0005-0000-0000-0000C1010000}"/>
    <cellStyle name="40% - Accent6 4 2 2" xfId="2196" xr:uid="{00000000-0005-0000-0000-0000C2010000}"/>
    <cellStyle name="40% - Accent6 4 3" xfId="884" xr:uid="{00000000-0005-0000-0000-0000C3010000}"/>
    <cellStyle name="40% - Accent6 4 3 2" xfId="1930" xr:uid="{00000000-0005-0000-0000-0000C4010000}"/>
    <cellStyle name="40% - Accent6 4 4" xfId="613" xr:uid="{00000000-0005-0000-0000-0000C5010000}"/>
    <cellStyle name="40% - Accent6 4 4 2" xfId="1664" xr:uid="{00000000-0005-0000-0000-0000C6010000}"/>
    <cellStyle name="40% - Accent6 4 5" xfId="1416" xr:uid="{00000000-0005-0000-0000-0000C7010000}"/>
    <cellStyle name="40% - Accent6 5" xfId="645" xr:uid="{00000000-0005-0000-0000-0000C8010000}"/>
    <cellStyle name="40% - Accent6 5 2" xfId="1182" xr:uid="{00000000-0005-0000-0000-0000C9010000}"/>
    <cellStyle name="40% - Accent6 5 2 2" xfId="2228" xr:uid="{00000000-0005-0000-0000-0000CA010000}"/>
    <cellStyle name="40% - Accent6 5 3" xfId="916" xr:uid="{00000000-0005-0000-0000-0000CB010000}"/>
    <cellStyle name="40% - Accent6 5 3 2" xfId="1962" xr:uid="{00000000-0005-0000-0000-0000CC010000}"/>
    <cellStyle name="40% - Accent6 5 4" xfId="1696" xr:uid="{00000000-0005-0000-0000-0000CD010000}"/>
    <cellStyle name="40% - Accent6 6" xfId="1026" xr:uid="{00000000-0005-0000-0000-0000CE010000}"/>
    <cellStyle name="40% - Accent6 6 2" xfId="2072" xr:uid="{00000000-0005-0000-0000-0000CF010000}"/>
    <cellStyle name="40% - Accent6 7" xfId="760" xr:uid="{00000000-0005-0000-0000-0000D0010000}"/>
    <cellStyle name="40% - Accent6 7 2" xfId="1806" xr:uid="{00000000-0005-0000-0000-0000D1010000}"/>
    <cellStyle name="40% - Accent6 8" xfId="489" xr:uid="{00000000-0005-0000-0000-0000D2010000}"/>
    <cellStyle name="40% - Accent6 8 2" xfId="1540" xr:uid="{00000000-0005-0000-0000-0000D3010000}"/>
    <cellStyle name="40% - Accent6 9" xfId="1292" xr:uid="{00000000-0005-0000-0000-0000D4010000}"/>
    <cellStyle name="60% - Accent1" xfId="219" builtinId="32" customBuiltin="1"/>
    <cellStyle name="60% - Accent1 2" xfId="31" xr:uid="{00000000-0005-0000-0000-0000D6010000}"/>
    <cellStyle name="60% - Accent2" xfId="223" builtinId="36" customBuiltin="1"/>
    <cellStyle name="60% - Accent2 2" xfId="32" xr:uid="{00000000-0005-0000-0000-0000D8010000}"/>
    <cellStyle name="60% - Accent3" xfId="227" builtinId="40" customBuiltin="1"/>
    <cellStyle name="60% - Accent3 2" xfId="33" xr:uid="{00000000-0005-0000-0000-0000DA010000}"/>
    <cellStyle name="60% - Accent4" xfId="231" builtinId="44" customBuiltin="1"/>
    <cellStyle name="60% - Accent4 2" xfId="34" xr:uid="{00000000-0005-0000-0000-0000DC010000}"/>
    <cellStyle name="60% - Accent5" xfId="235" builtinId="48" customBuiltin="1"/>
    <cellStyle name="60% - Accent5 2" xfId="35" xr:uid="{00000000-0005-0000-0000-0000DE010000}"/>
    <cellStyle name="60% - Accent6" xfId="239" builtinId="52" customBuiltin="1"/>
    <cellStyle name="60% - Accent6 2" xfId="36" xr:uid="{00000000-0005-0000-0000-0000E0010000}"/>
    <cellStyle name="Accent1" xfId="216" builtinId="29" customBuiltin="1"/>
    <cellStyle name="Accent1 2" xfId="37" xr:uid="{00000000-0005-0000-0000-0000E2010000}"/>
    <cellStyle name="Accent2" xfId="220" builtinId="33" customBuiltin="1"/>
    <cellStyle name="Accent2 2" xfId="38" xr:uid="{00000000-0005-0000-0000-0000E4010000}"/>
    <cellStyle name="Accent3" xfId="224" builtinId="37" customBuiltin="1"/>
    <cellStyle name="Accent3 2" xfId="39" xr:uid="{00000000-0005-0000-0000-0000E6010000}"/>
    <cellStyle name="Accent4" xfId="228" builtinId="41" customBuiltin="1"/>
    <cellStyle name="Accent4 2" xfId="40" xr:uid="{00000000-0005-0000-0000-0000E8010000}"/>
    <cellStyle name="Accent5" xfId="232" builtinId="45" customBuiltin="1"/>
    <cellStyle name="Accent5 2" xfId="41" xr:uid="{00000000-0005-0000-0000-0000EA010000}"/>
    <cellStyle name="Accent6" xfId="236" builtinId="49" customBuiltin="1"/>
    <cellStyle name="Accent6 2" xfId="42" xr:uid="{00000000-0005-0000-0000-0000EC010000}"/>
    <cellStyle name="Bad" xfId="206" builtinId="27" customBuiltin="1"/>
    <cellStyle name="Bad 2" xfId="43" xr:uid="{00000000-0005-0000-0000-0000EE010000}"/>
    <cellStyle name="Calculation" xfId="210" builtinId="22" customBuiltin="1"/>
    <cellStyle name="Calculation 2" xfId="44" xr:uid="{00000000-0005-0000-0000-0000F0010000}"/>
    <cellStyle name="Check Cell" xfId="212" builtinId="23" customBuiltin="1"/>
    <cellStyle name="Check Cell 2" xfId="45" xr:uid="{00000000-0005-0000-0000-0000F2010000}"/>
    <cellStyle name="Comma 10" xfId="646" xr:uid="{00000000-0005-0000-0000-0000F4010000}"/>
    <cellStyle name="Comma 10 2" xfId="1183" xr:uid="{00000000-0005-0000-0000-0000F5010000}"/>
    <cellStyle name="Comma 10 2 2" xfId="2229" xr:uid="{00000000-0005-0000-0000-0000F6010000}"/>
    <cellStyle name="Comma 10 3" xfId="917" xr:uid="{00000000-0005-0000-0000-0000F7010000}"/>
    <cellStyle name="Comma 10 3 2" xfId="1963" xr:uid="{00000000-0005-0000-0000-0000F8010000}"/>
    <cellStyle name="Comma 10 4" xfId="1697" xr:uid="{00000000-0005-0000-0000-0000F9010000}"/>
    <cellStyle name="Comma 2" xfId="1" xr:uid="{00000000-0005-0000-0000-0000FA010000}"/>
    <cellStyle name="Comma 2 2" xfId="46" xr:uid="{00000000-0005-0000-0000-0000FB010000}"/>
    <cellStyle name="Comma 2 3" xfId="47" xr:uid="{00000000-0005-0000-0000-0000FC010000}"/>
    <cellStyle name="Comma 2 4" xfId="48" xr:uid="{00000000-0005-0000-0000-0000FD010000}"/>
    <cellStyle name="Comma 3" xfId="2" xr:uid="{00000000-0005-0000-0000-0000FE010000}"/>
    <cellStyle name="Comma 3 2" xfId="49" xr:uid="{00000000-0005-0000-0000-0000FF010000}"/>
    <cellStyle name="Comma 3 3" xfId="50" xr:uid="{00000000-0005-0000-0000-000000020000}"/>
    <cellStyle name="Comma 4" xfId="51" xr:uid="{00000000-0005-0000-0000-000001020000}"/>
    <cellStyle name="Comma 4 2" xfId="134" xr:uid="{00000000-0005-0000-0000-000002020000}"/>
    <cellStyle name="Comma 4 2 2" xfId="188" xr:uid="{00000000-0005-0000-0000-000003020000}"/>
    <cellStyle name="Comma 4 2 2 2" xfId="342" xr:uid="{00000000-0005-0000-0000-000004020000}"/>
    <cellStyle name="Comma 4 2 2 2 2" xfId="1127" xr:uid="{00000000-0005-0000-0000-000005020000}"/>
    <cellStyle name="Comma 4 2 2 2 2 2" xfId="2173" xr:uid="{00000000-0005-0000-0000-000006020000}"/>
    <cellStyle name="Comma 4 2 2 2 3" xfId="861" xr:uid="{00000000-0005-0000-0000-000007020000}"/>
    <cellStyle name="Comma 4 2 2 2 3 2" xfId="1907" xr:uid="{00000000-0005-0000-0000-000008020000}"/>
    <cellStyle name="Comma 4 2 2 2 4" xfId="590" xr:uid="{00000000-0005-0000-0000-000009020000}"/>
    <cellStyle name="Comma 4 2 2 2 4 2" xfId="1641" xr:uid="{00000000-0005-0000-0000-00000A020000}"/>
    <cellStyle name="Comma 4 2 2 2 5" xfId="1393" xr:uid="{00000000-0005-0000-0000-00000B020000}"/>
    <cellStyle name="Comma 4 2 2 3" xfId="1003" xr:uid="{00000000-0005-0000-0000-00000C020000}"/>
    <cellStyle name="Comma 4 2 2 3 2" xfId="2049" xr:uid="{00000000-0005-0000-0000-00000D020000}"/>
    <cellStyle name="Comma 4 2 2 4" xfId="737" xr:uid="{00000000-0005-0000-0000-00000E020000}"/>
    <cellStyle name="Comma 4 2 2 4 2" xfId="1783" xr:uid="{00000000-0005-0000-0000-00000F020000}"/>
    <cellStyle name="Comma 4 2 2 5" xfId="466" xr:uid="{00000000-0005-0000-0000-000010020000}"/>
    <cellStyle name="Comma 4 2 2 5 2" xfId="1517" xr:uid="{00000000-0005-0000-0000-000011020000}"/>
    <cellStyle name="Comma 4 2 2 6" xfId="1269" xr:uid="{00000000-0005-0000-0000-000012020000}"/>
    <cellStyle name="Comma 4 2 3" xfId="295" xr:uid="{00000000-0005-0000-0000-000013020000}"/>
    <cellStyle name="Comma 4 2 3 2" xfId="1080" xr:uid="{00000000-0005-0000-0000-000014020000}"/>
    <cellStyle name="Comma 4 2 3 2 2" xfId="2126" xr:uid="{00000000-0005-0000-0000-000015020000}"/>
    <cellStyle name="Comma 4 2 3 3" xfId="814" xr:uid="{00000000-0005-0000-0000-000016020000}"/>
    <cellStyle name="Comma 4 2 3 3 2" xfId="1860" xr:uid="{00000000-0005-0000-0000-000017020000}"/>
    <cellStyle name="Comma 4 2 3 4" xfId="543" xr:uid="{00000000-0005-0000-0000-000018020000}"/>
    <cellStyle name="Comma 4 2 3 4 2" xfId="1594" xr:uid="{00000000-0005-0000-0000-000019020000}"/>
    <cellStyle name="Comma 4 2 3 5" xfId="1346" xr:uid="{00000000-0005-0000-0000-00001A020000}"/>
    <cellStyle name="Comma 4 2 4" xfId="956" xr:uid="{00000000-0005-0000-0000-00001B020000}"/>
    <cellStyle name="Comma 4 2 4 2" xfId="2002" xr:uid="{00000000-0005-0000-0000-00001C020000}"/>
    <cellStyle name="Comma 4 2 5" xfId="690" xr:uid="{00000000-0005-0000-0000-00001D020000}"/>
    <cellStyle name="Comma 4 2 5 2" xfId="1736" xr:uid="{00000000-0005-0000-0000-00001E020000}"/>
    <cellStyle name="Comma 4 2 6" xfId="419" xr:uid="{00000000-0005-0000-0000-00001F020000}"/>
    <cellStyle name="Comma 4 2 6 2" xfId="1470" xr:uid="{00000000-0005-0000-0000-000020020000}"/>
    <cellStyle name="Comma 4 2 7" xfId="1222" xr:uid="{00000000-0005-0000-0000-000021020000}"/>
    <cellStyle name="Comma 4 3" xfId="158" xr:uid="{00000000-0005-0000-0000-000022020000}"/>
    <cellStyle name="Comma 4 3 2" xfId="312" xr:uid="{00000000-0005-0000-0000-000023020000}"/>
    <cellStyle name="Comma 4 3 2 2" xfId="1097" xr:uid="{00000000-0005-0000-0000-000024020000}"/>
    <cellStyle name="Comma 4 3 2 2 2" xfId="2143" xr:uid="{00000000-0005-0000-0000-000025020000}"/>
    <cellStyle name="Comma 4 3 2 3" xfId="831" xr:uid="{00000000-0005-0000-0000-000026020000}"/>
    <cellStyle name="Comma 4 3 2 3 2" xfId="1877" xr:uid="{00000000-0005-0000-0000-000027020000}"/>
    <cellStyle name="Comma 4 3 2 4" xfId="560" xr:uid="{00000000-0005-0000-0000-000028020000}"/>
    <cellStyle name="Comma 4 3 2 4 2" xfId="1611" xr:uid="{00000000-0005-0000-0000-000029020000}"/>
    <cellStyle name="Comma 4 3 2 5" xfId="1363" xr:uid="{00000000-0005-0000-0000-00002A020000}"/>
    <cellStyle name="Comma 4 3 3" xfId="973" xr:uid="{00000000-0005-0000-0000-00002B020000}"/>
    <cellStyle name="Comma 4 3 3 2" xfId="2019" xr:uid="{00000000-0005-0000-0000-00002C020000}"/>
    <cellStyle name="Comma 4 3 4" xfId="707" xr:uid="{00000000-0005-0000-0000-00002D020000}"/>
    <cellStyle name="Comma 4 3 4 2" xfId="1753" xr:uid="{00000000-0005-0000-0000-00002E020000}"/>
    <cellStyle name="Comma 4 3 5" xfId="436" xr:uid="{00000000-0005-0000-0000-00002F020000}"/>
    <cellStyle name="Comma 4 3 5 2" xfId="1487" xr:uid="{00000000-0005-0000-0000-000030020000}"/>
    <cellStyle name="Comma 4 3 6" xfId="1239" xr:uid="{00000000-0005-0000-0000-000031020000}"/>
    <cellStyle name="Comma 4 4" xfId="265" xr:uid="{00000000-0005-0000-0000-000032020000}"/>
    <cellStyle name="Comma 4 4 2" xfId="1050" xr:uid="{00000000-0005-0000-0000-000033020000}"/>
    <cellStyle name="Comma 4 4 2 2" xfId="2096" xr:uid="{00000000-0005-0000-0000-000034020000}"/>
    <cellStyle name="Comma 4 4 3" xfId="784" xr:uid="{00000000-0005-0000-0000-000035020000}"/>
    <cellStyle name="Comma 4 4 3 2" xfId="1830" xr:uid="{00000000-0005-0000-0000-000036020000}"/>
    <cellStyle name="Comma 4 4 4" xfId="513" xr:uid="{00000000-0005-0000-0000-000037020000}"/>
    <cellStyle name="Comma 4 4 4 2" xfId="1564" xr:uid="{00000000-0005-0000-0000-000038020000}"/>
    <cellStyle name="Comma 4 4 5" xfId="1316" xr:uid="{00000000-0005-0000-0000-000039020000}"/>
    <cellStyle name="Comma 4 5" xfId="926" xr:uid="{00000000-0005-0000-0000-00003A020000}"/>
    <cellStyle name="Comma 4 5 2" xfId="1972" xr:uid="{00000000-0005-0000-0000-00003B020000}"/>
    <cellStyle name="Comma 4 6" xfId="660" xr:uid="{00000000-0005-0000-0000-00003C020000}"/>
    <cellStyle name="Comma 4 6 2" xfId="1706" xr:uid="{00000000-0005-0000-0000-00003D020000}"/>
    <cellStyle name="Comma 4 7" xfId="389" xr:uid="{00000000-0005-0000-0000-00003E020000}"/>
    <cellStyle name="Comma 4 7 2" xfId="1440" xr:uid="{00000000-0005-0000-0000-00003F020000}"/>
    <cellStyle name="Comma 4 8" xfId="1192" xr:uid="{00000000-0005-0000-0000-000040020000}"/>
    <cellStyle name="Comma 5" xfId="52" xr:uid="{00000000-0005-0000-0000-000041020000}"/>
    <cellStyle name="Comma 6" xfId="53" xr:uid="{00000000-0005-0000-0000-000042020000}"/>
    <cellStyle name="Comma 6 2" xfId="159" xr:uid="{00000000-0005-0000-0000-000043020000}"/>
    <cellStyle name="Comma 6 2 2" xfId="313" xr:uid="{00000000-0005-0000-0000-000044020000}"/>
    <cellStyle name="Comma 6 2 2 2" xfId="1098" xr:uid="{00000000-0005-0000-0000-000045020000}"/>
    <cellStyle name="Comma 6 2 2 2 2" xfId="2144" xr:uid="{00000000-0005-0000-0000-000046020000}"/>
    <cellStyle name="Comma 6 2 2 3" xfId="832" xr:uid="{00000000-0005-0000-0000-000047020000}"/>
    <cellStyle name="Comma 6 2 2 3 2" xfId="1878" xr:uid="{00000000-0005-0000-0000-000048020000}"/>
    <cellStyle name="Comma 6 2 2 4" xfId="561" xr:uid="{00000000-0005-0000-0000-000049020000}"/>
    <cellStyle name="Comma 6 2 2 4 2" xfId="1612" xr:uid="{00000000-0005-0000-0000-00004A020000}"/>
    <cellStyle name="Comma 6 2 2 5" xfId="1364" xr:uid="{00000000-0005-0000-0000-00004B020000}"/>
    <cellStyle name="Comma 6 2 3" xfId="974" xr:uid="{00000000-0005-0000-0000-00004C020000}"/>
    <cellStyle name="Comma 6 2 3 2" xfId="2020" xr:uid="{00000000-0005-0000-0000-00004D020000}"/>
    <cellStyle name="Comma 6 2 4" xfId="708" xr:uid="{00000000-0005-0000-0000-00004E020000}"/>
    <cellStyle name="Comma 6 2 4 2" xfId="1754" xr:uid="{00000000-0005-0000-0000-00004F020000}"/>
    <cellStyle name="Comma 6 2 5" xfId="437" xr:uid="{00000000-0005-0000-0000-000050020000}"/>
    <cellStyle name="Comma 6 2 5 2" xfId="1488" xr:uid="{00000000-0005-0000-0000-000051020000}"/>
    <cellStyle name="Comma 6 2 6" xfId="1240" xr:uid="{00000000-0005-0000-0000-000052020000}"/>
    <cellStyle name="Comma 6 3" xfId="266" xr:uid="{00000000-0005-0000-0000-000053020000}"/>
    <cellStyle name="Comma 6 3 2" xfId="1051" xr:uid="{00000000-0005-0000-0000-000054020000}"/>
    <cellStyle name="Comma 6 3 2 2" xfId="2097" xr:uid="{00000000-0005-0000-0000-000055020000}"/>
    <cellStyle name="Comma 6 3 3" xfId="785" xr:uid="{00000000-0005-0000-0000-000056020000}"/>
    <cellStyle name="Comma 6 3 3 2" xfId="1831" xr:uid="{00000000-0005-0000-0000-000057020000}"/>
    <cellStyle name="Comma 6 3 4" xfId="514" xr:uid="{00000000-0005-0000-0000-000058020000}"/>
    <cellStyle name="Comma 6 3 4 2" xfId="1565" xr:uid="{00000000-0005-0000-0000-000059020000}"/>
    <cellStyle name="Comma 6 3 5" xfId="1317" xr:uid="{00000000-0005-0000-0000-00005A020000}"/>
    <cellStyle name="Comma 6 4" xfId="927" xr:uid="{00000000-0005-0000-0000-00005B020000}"/>
    <cellStyle name="Comma 6 4 2" xfId="1973" xr:uid="{00000000-0005-0000-0000-00005C020000}"/>
    <cellStyle name="Comma 6 5" xfId="661" xr:uid="{00000000-0005-0000-0000-00005D020000}"/>
    <cellStyle name="Comma 6 5 2" xfId="1707" xr:uid="{00000000-0005-0000-0000-00005E020000}"/>
    <cellStyle name="Comma 6 6" xfId="390" xr:uid="{00000000-0005-0000-0000-00005F020000}"/>
    <cellStyle name="Comma 6 6 2" xfId="1441" xr:uid="{00000000-0005-0000-0000-000060020000}"/>
    <cellStyle name="Comma 6 7" xfId="1193" xr:uid="{00000000-0005-0000-0000-000061020000}"/>
    <cellStyle name="Comma 7" xfId="54" xr:uid="{00000000-0005-0000-0000-000062020000}"/>
    <cellStyle name="Comma 8" xfId="55" xr:uid="{00000000-0005-0000-0000-000063020000}"/>
    <cellStyle name="Comma 8 2" xfId="160" xr:uid="{00000000-0005-0000-0000-000064020000}"/>
    <cellStyle name="Comma 8 2 2" xfId="314" xr:uid="{00000000-0005-0000-0000-000065020000}"/>
    <cellStyle name="Comma 8 2 2 2" xfId="1099" xr:uid="{00000000-0005-0000-0000-000066020000}"/>
    <cellStyle name="Comma 8 2 2 2 2" xfId="2145" xr:uid="{00000000-0005-0000-0000-000067020000}"/>
    <cellStyle name="Comma 8 2 2 3" xfId="833" xr:uid="{00000000-0005-0000-0000-000068020000}"/>
    <cellStyle name="Comma 8 2 2 3 2" xfId="1879" xr:uid="{00000000-0005-0000-0000-000069020000}"/>
    <cellStyle name="Comma 8 2 2 4" xfId="562" xr:uid="{00000000-0005-0000-0000-00006A020000}"/>
    <cellStyle name="Comma 8 2 2 4 2" xfId="1613" xr:uid="{00000000-0005-0000-0000-00006B020000}"/>
    <cellStyle name="Comma 8 2 2 5" xfId="1365" xr:uid="{00000000-0005-0000-0000-00006C020000}"/>
    <cellStyle name="Comma 8 2 3" xfId="975" xr:uid="{00000000-0005-0000-0000-00006D020000}"/>
    <cellStyle name="Comma 8 2 3 2" xfId="2021" xr:uid="{00000000-0005-0000-0000-00006E020000}"/>
    <cellStyle name="Comma 8 2 4" xfId="709" xr:uid="{00000000-0005-0000-0000-00006F020000}"/>
    <cellStyle name="Comma 8 2 4 2" xfId="1755" xr:uid="{00000000-0005-0000-0000-000070020000}"/>
    <cellStyle name="Comma 8 2 5" xfId="438" xr:uid="{00000000-0005-0000-0000-000071020000}"/>
    <cellStyle name="Comma 8 2 5 2" xfId="1489" xr:uid="{00000000-0005-0000-0000-000072020000}"/>
    <cellStyle name="Comma 8 2 6" xfId="1241" xr:uid="{00000000-0005-0000-0000-000073020000}"/>
    <cellStyle name="Comma 8 3" xfId="267" xr:uid="{00000000-0005-0000-0000-000074020000}"/>
    <cellStyle name="Comma 8 3 2" xfId="1052" xr:uid="{00000000-0005-0000-0000-000075020000}"/>
    <cellStyle name="Comma 8 3 2 2" xfId="2098" xr:uid="{00000000-0005-0000-0000-000076020000}"/>
    <cellStyle name="Comma 8 3 3" xfId="786" xr:uid="{00000000-0005-0000-0000-000077020000}"/>
    <cellStyle name="Comma 8 3 3 2" xfId="1832" xr:uid="{00000000-0005-0000-0000-000078020000}"/>
    <cellStyle name="Comma 8 3 4" xfId="515" xr:uid="{00000000-0005-0000-0000-000079020000}"/>
    <cellStyle name="Comma 8 3 4 2" xfId="1566" xr:uid="{00000000-0005-0000-0000-00007A020000}"/>
    <cellStyle name="Comma 8 3 5" xfId="1318" xr:uid="{00000000-0005-0000-0000-00007B020000}"/>
    <cellStyle name="Comma 8 4" xfId="928" xr:uid="{00000000-0005-0000-0000-00007C020000}"/>
    <cellStyle name="Comma 8 4 2" xfId="1974" xr:uid="{00000000-0005-0000-0000-00007D020000}"/>
    <cellStyle name="Comma 8 5" xfId="662" xr:uid="{00000000-0005-0000-0000-00007E020000}"/>
    <cellStyle name="Comma 8 5 2" xfId="1708" xr:uid="{00000000-0005-0000-0000-00007F020000}"/>
    <cellStyle name="Comma 8 6" xfId="391" xr:uid="{00000000-0005-0000-0000-000080020000}"/>
    <cellStyle name="Comma 8 6 2" xfId="1442" xr:uid="{00000000-0005-0000-0000-000081020000}"/>
    <cellStyle name="Comma 8 7" xfId="1194" xr:uid="{00000000-0005-0000-0000-000082020000}"/>
    <cellStyle name="Comma 9" xfId="133" xr:uid="{00000000-0005-0000-0000-000083020000}"/>
    <cellStyle name="Comma 9 2" xfId="187" xr:uid="{00000000-0005-0000-0000-000084020000}"/>
    <cellStyle name="Comma 9 2 2" xfId="341" xr:uid="{00000000-0005-0000-0000-000085020000}"/>
    <cellStyle name="Comma 9 2 2 2" xfId="1126" xr:uid="{00000000-0005-0000-0000-000086020000}"/>
    <cellStyle name="Comma 9 2 2 2 2" xfId="2172" xr:uid="{00000000-0005-0000-0000-000087020000}"/>
    <cellStyle name="Comma 9 2 2 3" xfId="860" xr:uid="{00000000-0005-0000-0000-000088020000}"/>
    <cellStyle name="Comma 9 2 2 3 2" xfId="1906" xr:uid="{00000000-0005-0000-0000-000089020000}"/>
    <cellStyle name="Comma 9 2 2 4" xfId="589" xr:uid="{00000000-0005-0000-0000-00008A020000}"/>
    <cellStyle name="Comma 9 2 2 4 2" xfId="1640" xr:uid="{00000000-0005-0000-0000-00008B020000}"/>
    <cellStyle name="Comma 9 2 2 5" xfId="1392" xr:uid="{00000000-0005-0000-0000-00008C020000}"/>
    <cellStyle name="Comma 9 2 3" xfId="1002" xr:uid="{00000000-0005-0000-0000-00008D020000}"/>
    <cellStyle name="Comma 9 2 3 2" xfId="2048" xr:uid="{00000000-0005-0000-0000-00008E020000}"/>
    <cellStyle name="Comma 9 2 4" xfId="736" xr:uid="{00000000-0005-0000-0000-00008F020000}"/>
    <cellStyle name="Comma 9 2 4 2" xfId="1782" xr:uid="{00000000-0005-0000-0000-000090020000}"/>
    <cellStyle name="Comma 9 2 5" xfId="465" xr:uid="{00000000-0005-0000-0000-000091020000}"/>
    <cellStyle name="Comma 9 2 5 2" xfId="1516" xr:uid="{00000000-0005-0000-0000-000092020000}"/>
    <cellStyle name="Comma 9 2 6" xfId="1268" xr:uid="{00000000-0005-0000-0000-000093020000}"/>
    <cellStyle name="Comma 9 3" xfId="294" xr:uid="{00000000-0005-0000-0000-000094020000}"/>
    <cellStyle name="Comma 9 3 2" xfId="1079" xr:uid="{00000000-0005-0000-0000-000095020000}"/>
    <cellStyle name="Comma 9 3 2 2" xfId="2125" xr:uid="{00000000-0005-0000-0000-000096020000}"/>
    <cellStyle name="Comma 9 3 3" xfId="813" xr:uid="{00000000-0005-0000-0000-000097020000}"/>
    <cellStyle name="Comma 9 3 3 2" xfId="1859" xr:uid="{00000000-0005-0000-0000-000098020000}"/>
    <cellStyle name="Comma 9 3 4" xfId="542" xr:uid="{00000000-0005-0000-0000-000099020000}"/>
    <cellStyle name="Comma 9 3 4 2" xfId="1593" xr:uid="{00000000-0005-0000-0000-00009A020000}"/>
    <cellStyle name="Comma 9 3 5" xfId="1345" xr:uid="{00000000-0005-0000-0000-00009B020000}"/>
    <cellStyle name="Comma 9 4" xfId="955" xr:uid="{00000000-0005-0000-0000-00009C020000}"/>
    <cellStyle name="Comma 9 4 2" xfId="2001" xr:uid="{00000000-0005-0000-0000-00009D020000}"/>
    <cellStyle name="Comma 9 5" xfId="689" xr:uid="{00000000-0005-0000-0000-00009E020000}"/>
    <cellStyle name="Comma 9 5 2" xfId="1735" xr:uid="{00000000-0005-0000-0000-00009F020000}"/>
    <cellStyle name="Comma 9 6" xfId="418" xr:uid="{00000000-0005-0000-0000-0000A0020000}"/>
    <cellStyle name="Comma 9 6 2" xfId="1469" xr:uid="{00000000-0005-0000-0000-0000A1020000}"/>
    <cellStyle name="Comma 9 7" xfId="1221" xr:uid="{00000000-0005-0000-0000-0000A2020000}"/>
    <cellStyle name="Currency 2" xfId="3" xr:uid="{00000000-0005-0000-0000-0000A3020000}"/>
    <cellStyle name="Currency 2 2" xfId="56" xr:uid="{00000000-0005-0000-0000-0000A4020000}"/>
    <cellStyle name="Currency 2 2 2" xfId="57" xr:uid="{00000000-0005-0000-0000-0000A5020000}"/>
    <cellStyle name="Currency 2 2 3" xfId="58" xr:uid="{00000000-0005-0000-0000-0000A6020000}"/>
    <cellStyle name="Currency 2 3" xfId="59" xr:uid="{00000000-0005-0000-0000-0000A7020000}"/>
    <cellStyle name="Currency 2 3 2" xfId="135" xr:uid="{00000000-0005-0000-0000-0000A8020000}"/>
    <cellStyle name="Currency 2 3 2 2" xfId="189" xr:uid="{00000000-0005-0000-0000-0000A9020000}"/>
    <cellStyle name="Currency 2 3 2 2 2" xfId="343" xr:uid="{00000000-0005-0000-0000-0000AA020000}"/>
    <cellStyle name="Currency 2 3 2 2 2 2" xfId="1128" xr:uid="{00000000-0005-0000-0000-0000AB020000}"/>
    <cellStyle name="Currency 2 3 2 2 2 2 2" xfId="2174" xr:uid="{00000000-0005-0000-0000-0000AC020000}"/>
    <cellStyle name="Currency 2 3 2 2 2 3" xfId="862" xr:uid="{00000000-0005-0000-0000-0000AD020000}"/>
    <cellStyle name="Currency 2 3 2 2 2 3 2" xfId="1908" xr:uid="{00000000-0005-0000-0000-0000AE020000}"/>
    <cellStyle name="Currency 2 3 2 2 2 4" xfId="591" xr:uid="{00000000-0005-0000-0000-0000AF020000}"/>
    <cellStyle name="Currency 2 3 2 2 2 4 2" xfId="1642" xr:uid="{00000000-0005-0000-0000-0000B0020000}"/>
    <cellStyle name="Currency 2 3 2 2 2 5" xfId="1394" xr:uid="{00000000-0005-0000-0000-0000B1020000}"/>
    <cellStyle name="Currency 2 3 2 2 3" xfId="1004" xr:uid="{00000000-0005-0000-0000-0000B2020000}"/>
    <cellStyle name="Currency 2 3 2 2 3 2" xfId="2050" xr:uid="{00000000-0005-0000-0000-0000B3020000}"/>
    <cellStyle name="Currency 2 3 2 2 4" xfId="738" xr:uid="{00000000-0005-0000-0000-0000B4020000}"/>
    <cellStyle name="Currency 2 3 2 2 4 2" xfId="1784" xr:uid="{00000000-0005-0000-0000-0000B5020000}"/>
    <cellStyle name="Currency 2 3 2 2 5" xfId="467" xr:uid="{00000000-0005-0000-0000-0000B6020000}"/>
    <cellStyle name="Currency 2 3 2 2 5 2" xfId="1518" xr:uid="{00000000-0005-0000-0000-0000B7020000}"/>
    <cellStyle name="Currency 2 3 2 2 6" xfId="1270" xr:uid="{00000000-0005-0000-0000-0000B8020000}"/>
    <cellStyle name="Currency 2 3 2 3" xfId="296" xr:uid="{00000000-0005-0000-0000-0000B9020000}"/>
    <cellStyle name="Currency 2 3 2 3 2" xfId="1081" xr:uid="{00000000-0005-0000-0000-0000BA020000}"/>
    <cellStyle name="Currency 2 3 2 3 2 2" xfId="2127" xr:uid="{00000000-0005-0000-0000-0000BB020000}"/>
    <cellStyle name="Currency 2 3 2 3 3" xfId="815" xr:uid="{00000000-0005-0000-0000-0000BC020000}"/>
    <cellStyle name="Currency 2 3 2 3 3 2" xfId="1861" xr:uid="{00000000-0005-0000-0000-0000BD020000}"/>
    <cellStyle name="Currency 2 3 2 3 4" xfId="544" xr:uid="{00000000-0005-0000-0000-0000BE020000}"/>
    <cellStyle name="Currency 2 3 2 3 4 2" xfId="1595" xr:uid="{00000000-0005-0000-0000-0000BF020000}"/>
    <cellStyle name="Currency 2 3 2 3 5" xfId="1347" xr:uid="{00000000-0005-0000-0000-0000C0020000}"/>
    <cellStyle name="Currency 2 3 2 4" xfId="957" xr:uid="{00000000-0005-0000-0000-0000C1020000}"/>
    <cellStyle name="Currency 2 3 2 4 2" xfId="2003" xr:uid="{00000000-0005-0000-0000-0000C2020000}"/>
    <cellStyle name="Currency 2 3 2 5" xfId="691" xr:uid="{00000000-0005-0000-0000-0000C3020000}"/>
    <cellStyle name="Currency 2 3 2 5 2" xfId="1737" xr:uid="{00000000-0005-0000-0000-0000C4020000}"/>
    <cellStyle name="Currency 2 3 2 6" xfId="420" xr:uid="{00000000-0005-0000-0000-0000C5020000}"/>
    <cellStyle name="Currency 2 3 2 6 2" xfId="1471" xr:uid="{00000000-0005-0000-0000-0000C6020000}"/>
    <cellStyle name="Currency 2 3 2 7" xfId="1223" xr:uid="{00000000-0005-0000-0000-0000C7020000}"/>
    <cellStyle name="Currency 2 3 3" xfId="161" xr:uid="{00000000-0005-0000-0000-0000C8020000}"/>
    <cellStyle name="Currency 2 3 3 2" xfId="315" xr:uid="{00000000-0005-0000-0000-0000C9020000}"/>
    <cellStyle name="Currency 2 3 3 2 2" xfId="1100" xr:uid="{00000000-0005-0000-0000-0000CA020000}"/>
    <cellStyle name="Currency 2 3 3 2 2 2" xfId="2146" xr:uid="{00000000-0005-0000-0000-0000CB020000}"/>
    <cellStyle name="Currency 2 3 3 2 3" xfId="834" xr:uid="{00000000-0005-0000-0000-0000CC020000}"/>
    <cellStyle name="Currency 2 3 3 2 3 2" xfId="1880" xr:uid="{00000000-0005-0000-0000-0000CD020000}"/>
    <cellStyle name="Currency 2 3 3 2 4" xfId="563" xr:uid="{00000000-0005-0000-0000-0000CE020000}"/>
    <cellStyle name="Currency 2 3 3 2 4 2" xfId="1614" xr:uid="{00000000-0005-0000-0000-0000CF020000}"/>
    <cellStyle name="Currency 2 3 3 2 5" xfId="1366" xr:uid="{00000000-0005-0000-0000-0000D0020000}"/>
    <cellStyle name="Currency 2 3 3 3" xfId="976" xr:uid="{00000000-0005-0000-0000-0000D1020000}"/>
    <cellStyle name="Currency 2 3 3 3 2" xfId="2022" xr:uid="{00000000-0005-0000-0000-0000D2020000}"/>
    <cellStyle name="Currency 2 3 3 4" xfId="710" xr:uid="{00000000-0005-0000-0000-0000D3020000}"/>
    <cellStyle name="Currency 2 3 3 4 2" xfId="1756" xr:uid="{00000000-0005-0000-0000-0000D4020000}"/>
    <cellStyle name="Currency 2 3 3 5" xfId="439" xr:uid="{00000000-0005-0000-0000-0000D5020000}"/>
    <cellStyle name="Currency 2 3 3 5 2" xfId="1490" xr:uid="{00000000-0005-0000-0000-0000D6020000}"/>
    <cellStyle name="Currency 2 3 3 6" xfId="1242" xr:uid="{00000000-0005-0000-0000-0000D7020000}"/>
    <cellStyle name="Currency 2 3 4" xfId="268" xr:uid="{00000000-0005-0000-0000-0000D8020000}"/>
    <cellStyle name="Currency 2 3 4 2" xfId="1053" xr:uid="{00000000-0005-0000-0000-0000D9020000}"/>
    <cellStyle name="Currency 2 3 4 2 2" xfId="2099" xr:uid="{00000000-0005-0000-0000-0000DA020000}"/>
    <cellStyle name="Currency 2 3 4 3" xfId="787" xr:uid="{00000000-0005-0000-0000-0000DB020000}"/>
    <cellStyle name="Currency 2 3 4 3 2" xfId="1833" xr:uid="{00000000-0005-0000-0000-0000DC020000}"/>
    <cellStyle name="Currency 2 3 4 4" xfId="516" xr:uid="{00000000-0005-0000-0000-0000DD020000}"/>
    <cellStyle name="Currency 2 3 4 4 2" xfId="1567" xr:uid="{00000000-0005-0000-0000-0000DE020000}"/>
    <cellStyle name="Currency 2 3 4 5" xfId="1319" xr:uid="{00000000-0005-0000-0000-0000DF020000}"/>
    <cellStyle name="Currency 2 3 5" xfId="929" xr:uid="{00000000-0005-0000-0000-0000E0020000}"/>
    <cellStyle name="Currency 2 3 5 2" xfId="1975" xr:uid="{00000000-0005-0000-0000-0000E1020000}"/>
    <cellStyle name="Currency 2 3 6" xfId="663" xr:uid="{00000000-0005-0000-0000-0000E2020000}"/>
    <cellStyle name="Currency 2 3 6 2" xfId="1709" xr:uid="{00000000-0005-0000-0000-0000E3020000}"/>
    <cellStyle name="Currency 2 3 7" xfId="392" xr:uid="{00000000-0005-0000-0000-0000E4020000}"/>
    <cellStyle name="Currency 2 3 7 2" xfId="1443" xr:uid="{00000000-0005-0000-0000-0000E5020000}"/>
    <cellStyle name="Currency 2 3 8" xfId="1195" xr:uid="{00000000-0005-0000-0000-0000E6020000}"/>
    <cellStyle name="Currency 2 4" xfId="60" xr:uid="{00000000-0005-0000-0000-0000E7020000}"/>
    <cellStyle name="Currency 3" xfId="61" xr:uid="{00000000-0005-0000-0000-0000E8020000}"/>
    <cellStyle name="Currency 3 2" xfId="62" xr:uid="{00000000-0005-0000-0000-0000E9020000}"/>
    <cellStyle name="Currency 3 3" xfId="63" xr:uid="{00000000-0005-0000-0000-0000EA020000}"/>
    <cellStyle name="Currency 4" xfId="64" xr:uid="{00000000-0005-0000-0000-0000EB020000}"/>
    <cellStyle name="Currency 4 2" xfId="136" xr:uid="{00000000-0005-0000-0000-0000EC020000}"/>
    <cellStyle name="Currency 4 2 2" xfId="190" xr:uid="{00000000-0005-0000-0000-0000ED020000}"/>
    <cellStyle name="Currency 4 2 2 2" xfId="344" xr:uid="{00000000-0005-0000-0000-0000EE020000}"/>
    <cellStyle name="Currency 4 2 2 2 2" xfId="1129" xr:uid="{00000000-0005-0000-0000-0000EF020000}"/>
    <cellStyle name="Currency 4 2 2 2 2 2" xfId="2175" xr:uid="{00000000-0005-0000-0000-0000F0020000}"/>
    <cellStyle name="Currency 4 2 2 2 3" xfId="863" xr:uid="{00000000-0005-0000-0000-0000F1020000}"/>
    <cellStyle name="Currency 4 2 2 2 3 2" xfId="1909" xr:uid="{00000000-0005-0000-0000-0000F2020000}"/>
    <cellStyle name="Currency 4 2 2 2 4" xfId="592" xr:uid="{00000000-0005-0000-0000-0000F3020000}"/>
    <cellStyle name="Currency 4 2 2 2 4 2" xfId="1643" xr:uid="{00000000-0005-0000-0000-0000F4020000}"/>
    <cellStyle name="Currency 4 2 2 2 5" xfId="1395" xr:uid="{00000000-0005-0000-0000-0000F5020000}"/>
    <cellStyle name="Currency 4 2 2 3" xfId="1005" xr:uid="{00000000-0005-0000-0000-0000F6020000}"/>
    <cellStyle name="Currency 4 2 2 3 2" xfId="2051" xr:uid="{00000000-0005-0000-0000-0000F7020000}"/>
    <cellStyle name="Currency 4 2 2 4" xfId="739" xr:uid="{00000000-0005-0000-0000-0000F8020000}"/>
    <cellStyle name="Currency 4 2 2 4 2" xfId="1785" xr:uid="{00000000-0005-0000-0000-0000F9020000}"/>
    <cellStyle name="Currency 4 2 2 5" xfId="468" xr:uid="{00000000-0005-0000-0000-0000FA020000}"/>
    <cellStyle name="Currency 4 2 2 5 2" xfId="1519" xr:uid="{00000000-0005-0000-0000-0000FB020000}"/>
    <cellStyle name="Currency 4 2 2 6" xfId="1271" xr:uid="{00000000-0005-0000-0000-0000FC020000}"/>
    <cellStyle name="Currency 4 2 3" xfId="297" xr:uid="{00000000-0005-0000-0000-0000FD020000}"/>
    <cellStyle name="Currency 4 2 3 2" xfId="1082" xr:uid="{00000000-0005-0000-0000-0000FE020000}"/>
    <cellStyle name="Currency 4 2 3 2 2" xfId="2128" xr:uid="{00000000-0005-0000-0000-0000FF020000}"/>
    <cellStyle name="Currency 4 2 3 3" xfId="816" xr:uid="{00000000-0005-0000-0000-000000030000}"/>
    <cellStyle name="Currency 4 2 3 3 2" xfId="1862" xr:uid="{00000000-0005-0000-0000-000001030000}"/>
    <cellStyle name="Currency 4 2 3 4" xfId="545" xr:uid="{00000000-0005-0000-0000-000002030000}"/>
    <cellStyle name="Currency 4 2 3 4 2" xfId="1596" xr:uid="{00000000-0005-0000-0000-000003030000}"/>
    <cellStyle name="Currency 4 2 3 5" xfId="1348" xr:uid="{00000000-0005-0000-0000-000004030000}"/>
    <cellStyle name="Currency 4 2 4" xfId="958" xr:uid="{00000000-0005-0000-0000-000005030000}"/>
    <cellStyle name="Currency 4 2 4 2" xfId="2004" xr:uid="{00000000-0005-0000-0000-000006030000}"/>
    <cellStyle name="Currency 4 2 5" xfId="692" xr:uid="{00000000-0005-0000-0000-000007030000}"/>
    <cellStyle name="Currency 4 2 5 2" xfId="1738" xr:uid="{00000000-0005-0000-0000-000008030000}"/>
    <cellStyle name="Currency 4 2 6" xfId="421" xr:uid="{00000000-0005-0000-0000-000009030000}"/>
    <cellStyle name="Currency 4 2 6 2" xfId="1472" xr:uid="{00000000-0005-0000-0000-00000A030000}"/>
    <cellStyle name="Currency 4 2 7" xfId="1224" xr:uid="{00000000-0005-0000-0000-00000B030000}"/>
    <cellStyle name="Currency 4 3" xfId="162" xr:uid="{00000000-0005-0000-0000-00000C030000}"/>
    <cellStyle name="Currency 4 3 2" xfId="316" xr:uid="{00000000-0005-0000-0000-00000D030000}"/>
    <cellStyle name="Currency 4 3 2 2" xfId="1101" xr:uid="{00000000-0005-0000-0000-00000E030000}"/>
    <cellStyle name="Currency 4 3 2 2 2" xfId="2147" xr:uid="{00000000-0005-0000-0000-00000F030000}"/>
    <cellStyle name="Currency 4 3 2 3" xfId="835" xr:uid="{00000000-0005-0000-0000-000010030000}"/>
    <cellStyle name="Currency 4 3 2 3 2" xfId="1881" xr:uid="{00000000-0005-0000-0000-000011030000}"/>
    <cellStyle name="Currency 4 3 2 4" xfId="564" xr:uid="{00000000-0005-0000-0000-000012030000}"/>
    <cellStyle name="Currency 4 3 2 4 2" xfId="1615" xr:uid="{00000000-0005-0000-0000-000013030000}"/>
    <cellStyle name="Currency 4 3 2 5" xfId="1367" xr:uid="{00000000-0005-0000-0000-000014030000}"/>
    <cellStyle name="Currency 4 3 3" xfId="977" xr:uid="{00000000-0005-0000-0000-000015030000}"/>
    <cellStyle name="Currency 4 3 3 2" xfId="2023" xr:uid="{00000000-0005-0000-0000-000016030000}"/>
    <cellStyle name="Currency 4 3 4" xfId="711" xr:uid="{00000000-0005-0000-0000-000017030000}"/>
    <cellStyle name="Currency 4 3 4 2" xfId="1757" xr:uid="{00000000-0005-0000-0000-000018030000}"/>
    <cellStyle name="Currency 4 3 5" xfId="440" xr:uid="{00000000-0005-0000-0000-000019030000}"/>
    <cellStyle name="Currency 4 3 5 2" xfId="1491" xr:uid="{00000000-0005-0000-0000-00001A030000}"/>
    <cellStyle name="Currency 4 3 6" xfId="1243" xr:uid="{00000000-0005-0000-0000-00001B030000}"/>
    <cellStyle name="Currency 4 4" xfId="269" xr:uid="{00000000-0005-0000-0000-00001C030000}"/>
    <cellStyle name="Currency 4 4 2" xfId="1054" xr:uid="{00000000-0005-0000-0000-00001D030000}"/>
    <cellStyle name="Currency 4 4 2 2" xfId="2100" xr:uid="{00000000-0005-0000-0000-00001E030000}"/>
    <cellStyle name="Currency 4 4 3" xfId="788" xr:uid="{00000000-0005-0000-0000-00001F030000}"/>
    <cellStyle name="Currency 4 4 3 2" xfId="1834" xr:uid="{00000000-0005-0000-0000-000020030000}"/>
    <cellStyle name="Currency 4 4 4" xfId="517" xr:uid="{00000000-0005-0000-0000-000021030000}"/>
    <cellStyle name="Currency 4 4 4 2" xfId="1568" xr:uid="{00000000-0005-0000-0000-000022030000}"/>
    <cellStyle name="Currency 4 4 5" xfId="1320" xr:uid="{00000000-0005-0000-0000-000023030000}"/>
    <cellStyle name="Currency 4 5" xfId="930" xr:uid="{00000000-0005-0000-0000-000024030000}"/>
    <cellStyle name="Currency 4 5 2" xfId="1976" xr:uid="{00000000-0005-0000-0000-000025030000}"/>
    <cellStyle name="Currency 4 6" xfId="664" xr:uid="{00000000-0005-0000-0000-000026030000}"/>
    <cellStyle name="Currency 4 6 2" xfId="1710" xr:uid="{00000000-0005-0000-0000-000027030000}"/>
    <cellStyle name="Currency 4 7" xfId="393" xr:uid="{00000000-0005-0000-0000-000028030000}"/>
    <cellStyle name="Currency 4 7 2" xfId="1444" xr:uid="{00000000-0005-0000-0000-000029030000}"/>
    <cellStyle name="Currency 4 8" xfId="1196" xr:uid="{00000000-0005-0000-0000-00002A030000}"/>
    <cellStyle name="Currency 5" xfId="652" xr:uid="{00000000-0005-0000-0000-00002B030000}"/>
    <cellStyle name="Currency 5 2" xfId="1186" xr:uid="{00000000-0005-0000-0000-00002C030000}"/>
    <cellStyle name="Currency 5 2 2" xfId="2232" xr:uid="{00000000-0005-0000-0000-00002D030000}"/>
    <cellStyle name="Currency 5 3" xfId="920" xr:uid="{00000000-0005-0000-0000-00002E030000}"/>
    <cellStyle name="Currency 5 3 2" xfId="1966" xr:uid="{00000000-0005-0000-0000-00002F030000}"/>
    <cellStyle name="Currency 5 4" xfId="1700" xr:uid="{00000000-0005-0000-0000-000030030000}"/>
    <cellStyle name="Explanatory Text" xfId="214" builtinId="53" customBuiltin="1"/>
    <cellStyle name="Explanatory Text 2" xfId="65" xr:uid="{00000000-0005-0000-0000-000032030000}"/>
    <cellStyle name="globaldir" xfId="647" xr:uid="{00000000-0005-0000-0000-000033030000}"/>
    <cellStyle name="Good" xfId="205" builtinId="26" customBuiltin="1"/>
    <cellStyle name="Good 2" xfId="66" xr:uid="{00000000-0005-0000-0000-000035030000}"/>
    <cellStyle name="Heading 1" xfId="201" builtinId="16" customBuiltin="1"/>
    <cellStyle name="Heading 1 2" xfId="67" xr:uid="{00000000-0005-0000-0000-000037030000}"/>
    <cellStyle name="Heading 2" xfId="202" builtinId="17" customBuiltin="1"/>
    <cellStyle name="Heading 2 2" xfId="68" xr:uid="{00000000-0005-0000-0000-000039030000}"/>
    <cellStyle name="Heading 3" xfId="203" builtinId="18" customBuiltin="1"/>
    <cellStyle name="Heading 3 2" xfId="69" xr:uid="{00000000-0005-0000-0000-00003B030000}"/>
    <cellStyle name="Heading 3 3" xfId="70" xr:uid="{00000000-0005-0000-0000-00003C030000}"/>
    <cellStyle name="Heading 4" xfId="204" builtinId="19" customBuiltin="1"/>
    <cellStyle name="Heading 4 2" xfId="71" xr:uid="{00000000-0005-0000-0000-00003E030000}"/>
    <cellStyle name="Hyperlink" xfId="2237" builtinId="8"/>
    <cellStyle name="Hyperlink 2" xfId="150" xr:uid="{00000000-0005-0000-0000-000040030000}"/>
    <cellStyle name="Input" xfId="208" builtinId="20" customBuiltin="1"/>
    <cellStyle name="Input 2" xfId="72" xr:uid="{00000000-0005-0000-0000-000042030000}"/>
    <cellStyle name="Linked Cell" xfId="211" builtinId="24" customBuiltin="1"/>
    <cellStyle name="Linked Cell 2" xfId="73" xr:uid="{00000000-0005-0000-0000-000044030000}"/>
    <cellStyle name="LockedStyle" xfId="74" xr:uid="{00000000-0005-0000-0000-000045030000}"/>
    <cellStyle name="Neutral" xfId="207" builtinId="28" customBuiltin="1"/>
    <cellStyle name="Neutral 2" xfId="75" xr:uid="{00000000-0005-0000-0000-000047030000}"/>
    <cellStyle name="Normal" xfId="0" builtinId="0" customBuiltin="1"/>
    <cellStyle name="Normal - Style1" xfId="648" xr:uid="{00000000-0005-0000-0000-000049030000}"/>
    <cellStyle name="Normal 10" xfId="76" xr:uid="{00000000-0005-0000-0000-00004A030000}"/>
    <cellStyle name="Normal 10 2" xfId="149" xr:uid="{00000000-0005-0000-0000-00004B030000}"/>
    <cellStyle name="Normal 10 2 2" xfId="199" xr:uid="{00000000-0005-0000-0000-00004C030000}"/>
    <cellStyle name="Normal 10 2 2 2" xfId="353" xr:uid="{00000000-0005-0000-0000-00004D030000}"/>
    <cellStyle name="Normal 10 2 2 2 2" xfId="1138" xr:uid="{00000000-0005-0000-0000-00004E030000}"/>
    <cellStyle name="Normal 10 2 2 2 2 2" xfId="2184" xr:uid="{00000000-0005-0000-0000-00004F030000}"/>
    <cellStyle name="Normal 10 2 2 2 3" xfId="872" xr:uid="{00000000-0005-0000-0000-000050030000}"/>
    <cellStyle name="Normal 10 2 2 2 3 2" xfId="1918" xr:uid="{00000000-0005-0000-0000-000051030000}"/>
    <cellStyle name="Normal 10 2 2 2 4" xfId="601" xr:uid="{00000000-0005-0000-0000-000052030000}"/>
    <cellStyle name="Normal 10 2 2 2 4 2" xfId="1652" xr:uid="{00000000-0005-0000-0000-000053030000}"/>
    <cellStyle name="Normal 10 2 2 2 5" xfId="1404" xr:uid="{00000000-0005-0000-0000-000054030000}"/>
    <cellStyle name="Normal 10 2 2 3" xfId="1014" xr:uid="{00000000-0005-0000-0000-000055030000}"/>
    <cellStyle name="Normal 10 2 2 3 2" xfId="2060" xr:uid="{00000000-0005-0000-0000-000056030000}"/>
    <cellStyle name="Normal 10 2 2 4" xfId="748" xr:uid="{00000000-0005-0000-0000-000057030000}"/>
    <cellStyle name="Normal 10 2 2 4 2" xfId="1794" xr:uid="{00000000-0005-0000-0000-000058030000}"/>
    <cellStyle name="Normal 10 2 2 5" xfId="477" xr:uid="{00000000-0005-0000-0000-000059030000}"/>
    <cellStyle name="Normal 10 2 2 5 2" xfId="1528" xr:uid="{00000000-0005-0000-0000-00005A030000}"/>
    <cellStyle name="Normal 10 2 2 6" xfId="1280" xr:uid="{00000000-0005-0000-0000-00005B030000}"/>
    <cellStyle name="Normal 10 2 3" xfId="306" xr:uid="{00000000-0005-0000-0000-00005C030000}"/>
    <cellStyle name="Normal 10 2 3 2" xfId="1091" xr:uid="{00000000-0005-0000-0000-00005D030000}"/>
    <cellStyle name="Normal 10 2 3 2 2" xfId="2137" xr:uid="{00000000-0005-0000-0000-00005E030000}"/>
    <cellStyle name="Normal 10 2 3 3" xfId="825" xr:uid="{00000000-0005-0000-0000-00005F030000}"/>
    <cellStyle name="Normal 10 2 3 3 2" xfId="1871" xr:uid="{00000000-0005-0000-0000-000060030000}"/>
    <cellStyle name="Normal 10 2 3 4" xfId="554" xr:uid="{00000000-0005-0000-0000-000061030000}"/>
    <cellStyle name="Normal 10 2 3 4 2" xfId="1605" xr:uid="{00000000-0005-0000-0000-000062030000}"/>
    <cellStyle name="Normal 10 2 3 5" xfId="1357" xr:uid="{00000000-0005-0000-0000-000063030000}"/>
    <cellStyle name="Normal 10 2 4" xfId="967" xr:uid="{00000000-0005-0000-0000-000064030000}"/>
    <cellStyle name="Normal 10 2 4 2" xfId="2013" xr:uid="{00000000-0005-0000-0000-000065030000}"/>
    <cellStyle name="Normal 10 2 5" xfId="701" xr:uid="{00000000-0005-0000-0000-000066030000}"/>
    <cellStyle name="Normal 10 2 5 2" xfId="1747" xr:uid="{00000000-0005-0000-0000-000067030000}"/>
    <cellStyle name="Normal 10 2 6" xfId="430" xr:uid="{00000000-0005-0000-0000-000068030000}"/>
    <cellStyle name="Normal 10 2 6 2" xfId="1481" xr:uid="{00000000-0005-0000-0000-000069030000}"/>
    <cellStyle name="Normal 10 2 7" xfId="1233" xr:uid="{00000000-0005-0000-0000-00006A030000}"/>
    <cellStyle name="Normal 10 3" xfId="163" xr:uid="{00000000-0005-0000-0000-00006B030000}"/>
    <cellStyle name="Normal 10 3 2" xfId="317" xr:uid="{00000000-0005-0000-0000-00006C030000}"/>
    <cellStyle name="Normal 10 3 2 2" xfId="1102" xr:uid="{00000000-0005-0000-0000-00006D030000}"/>
    <cellStyle name="Normal 10 3 2 2 2" xfId="2148" xr:uid="{00000000-0005-0000-0000-00006E030000}"/>
    <cellStyle name="Normal 10 3 2 3" xfId="836" xr:uid="{00000000-0005-0000-0000-00006F030000}"/>
    <cellStyle name="Normal 10 3 2 3 2" xfId="1882" xr:uid="{00000000-0005-0000-0000-000070030000}"/>
    <cellStyle name="Normal 10 3 2 4" xfId="565" xr:uid="{00000000-0005-0000-0000-000071030000}"/>
    <cellStyle name="Normal 10 3 2 4 2" xfId="1616" xr:uid="{00000000-0005-0000-0000-000072030000}"/>
    <cellStyle name="Normal 10 3 2 5" xfId="1368" xr:uid="{00000000-0005-0000-0000-000073030000}"/>
    <cellStyle name="Normal 10 3 3" xfId="978" xr:uid="{00000000-0005-0000-0000-000074030000}"/>
    <cellStyle name="Normal 10 3 3 2" xfId="2024" xr:uid="{00000000-0005-0000-0000-000075030000}"/>
    <cellStyle name="Normal 10 3 4" xfId="712" xr:uid="{00000000-0005-0000-0000-000076030000}"/>
    <cellStyle name="Normal 10 3 4 2" xfId="1758" xr:uid="{00000000-0005-0000-0000-000077030000}"/>
    <cellStyle name="Normal 10 3 5" xfId="441" xr:uid="{00000000-0005-0000-0000-000078030000}"/>
    <cellStyle name="Normal 10 3 5 2" xfId="1492" xr:uid="{00000000-0005-0000-0000-000079030000}"/>
    <cellStyle name="Normal 10 3 6" xfId="1244" xr:uid="{00000000-0005-0000-0000-00007A030000}"/>
    <cellStyle name="Normal 10 4" xfId="270" xr:uid="{00000000-0005-0000-0000-00007B030000}"/>
    <cellStyle name="Normal 10 4 2" xfId="1055" xr:uid="{00000000-0005-0000-0000-00007C030000}"/>
    <cellStyle name="Normal 10 4 2 2" xfId="2101" xr:uid="{00000000-0005-0000-0000-00007D030000}"/>
    <cellStyle name="Normal 10 4 3" xfId="789" xr:uid="{00000000-0005-0000-0000-00007E030000}"/>
    <cellStyle name="Normal 10 4 3 2" xfId="1835" xr:uid="{00000000-0005-0000-0000-00007F030000}"/>
    <cellStyle name="Normal 10 4 4" xfId="518" xr:uid="{00000000-0005-0000-0000-000080030000}"/>
    <cellStyle name="Normal 10 4 4 2" xfId="1569" xr:uid="{00000000-0005-0000-0000-000081030000}"/>
    <cellStyle name="Normal 10 4 5" xfId="1321" xr:uid="{00000000-0005-0000-0000-000082030000}"/>
    <cellStyle name="Normal 10 5" xfId="931" xr:uid="{00000000-0005-0000-0000-000083030000}"/>
    <cellStyle name="Normal 10 5 2" xfId="1977" xr:uid="{00000000-0005-0000-0000-000084030000}"/>
    <cellStyle name="Normal 10 6" xfId="665" xr:uid="{00000000-0005-0000-0000-000085030000}"/>
    <cellStyle name="Normal 10 6 2" xfId="1711" xr:uid="{00000000-0005-0000-0000-000086030000}"/>
    <cellStyle name="Normal 10 7" xfId="394" xr:uid="{00000000-0005-0000-0000-000087030000}"/>
    <cellStyle name="Normal 10 7 2" xfId="1445" xr:uid="{00000000-0005-0000-0000-000088030000}"/>
    <cellStyle name="Normal 10 8" xfId="1197" xr:uid="{00000000-0005-0000-0000-000089030000}"/>
    <cellStyle name="Normal 11" xfId="77" xr:uid="{00000000-0005-0000-0000-00008A030000}"/>
    <cellStyle name="Normal 12" xfId="78" xr:uid="{00000000-0005-0000-0000-00008B030000}"/>
    <cellStyle name="Normal 13" xfId="79" xr:uid="{00000000-0005-0000-0000-00008C030000}"/>
    <cellStyle name="Normal 14" xfId="80" xr:uid="{00000000-0005-0000-0000-00008D030000}"/>
    <cellStyle name="Normal 14 2" xfId="81" xr:uid="{00000000-0005-0000-0000-00008E030000}"/>
    <cellStyle name="Normal 14 5" xfId="82" xr:uid="{00000000-0005-0000-0000-00008F030000}"/>
    <cellStyle name="Normal 15" xfId="83" xr:uid="{00000000-0005-0000-0000-000090030000}"/>
    <cellStyle name="Normal 15 2" xfId="164" xr:uid="{00000000-0005-0000-0000-000091030000}"/>
    <cellStyle name="Normal 15 2 2" xfId="318" xr:uid="{00000000-0005-0000-0000-000092030000}"/>
    <cellStyle name="Normal 15 2 2 2" xfId="1103" xr:uid="{00000000-0005-0000-0000-000093030000}"/>
    <cellStyle name="Normal 15 2 2 2 2" xfId="2149" xr:uid="{00000000-0005-0000-0000-000094030000}"/>
    <cellStyle name="Normal 15 2 2 3" xfId="837" xr:uid="{00000000-0005-0000-0000-000095030000}"/>
    <cellStyle name="Normal 15 2 2 3 2" xfId="1883" xr:uid="{00000000-0005-0000-0000-000096030000}"/>
    <cellStyle name="Normal 15 2 2 4" xfId="566" xr:uid="{00000000-0005-0000-0000-000097030000}"/>
    <cellStyle name="Normal 15 2 2 4 2" xfId="1617" xr:uid="{00000000-0005-0000-0000-000098030000}"/>
    <cellStyle name="Normal 15 2 2 5" xfId="1369" xr:uid="{00000000-0005-0000-0000-000099030000}"/>
    <cellStyle name="Normal 15 2 3" xfId="979" xr:uid="{00000000-0005-0000-0000-00009A030000}"/>
    <cellStyle name="Normal 15 2 3 2" xfId="2025" xr:uid="{00000000-0005-0000-0000-00009B030000}"/>
    <cellStyle name="Normal 15 2 4" xfId="713" xr:uid="{00000000-0005-0000-0000-00009C030000}"/>
    <cellStyle name="Normal 15 2 4 2" xfId="1759" xr:uid="{00000000-0005-0000-0000-00009D030000}"/>
    <cellStyle name="Normal 15 2 5" xfId="442" xr:uid="{00000000-0005-0000-0000-00009E030000}"/>
    <cellStyle name="Normal 15 2 5 2" xfId="1493" xr:uid="{00000000-0005-0000-0000-00009F030000}"/>
    <cellStyle name="Normal 15 2 6" xfId="1245" xr:uid="{00000000-0005-0000-0000-0000A0030000}"/>
    <cellStyle name="Normal 15 3" xfId="271" xr:uid="{00000000-0005-0000-0000-0000A1030000}"/>
    <cellStyle name="Normal 15 3 2" xfId="1056" xr:uid="{00000000-0005-0000-0000-0000A2030000}"/>
    <cellStyle name="Normal 15 3 2 2" xfId="2102" xr:uid="{00000000-0005-0000-0000-0000A3030000}"/>
    <cellStyle name="Normal 15 3 3" xfId="790" xr:uid="{00000000-0005-0000-0000-0000A4030000}"/>
    <cellStyle name="Normal 15 3 3 2" xfId="1836" xr:uid="{00000000-0005-0000-0000-0000A5030000}"/>
    <cellStyle name="Normal 15 3 4" xfId="519" xr:uid="{00000000-0005-0000-0000-0000A6030000}"/>
    <cellStyle name="Normal 15 3 4 2" xfId="1570" xr:uid="{00000000-0005-0000-0000-0000A7030000}"/>
    <cellStyle name="Normal 15 3 5" xfId="1322" xr:uid="{00000000-0005-0000-0000-0000A8030000}"/>
    <cellStyle name="Normal 15 4" xfId="932" xr:uid="{00000000-0005-0000-0000-0000A9030000}"/>
    <cellStyle name="Normal 15 4 2" xfId="1978" xr:uid="{00000000-0005-0000-0000-0000AA030000}"/>
    <cellStyle name="Normal 15 5" xfId="666" xr:uid="{00000000-0005-0000-0000-0000AB030000}"/>
    <cellStyle name="Normal 15 5 2" xfId="1712" xr:uid="{00000000-0005-0000-0000-0000AC030000}"/>
    <cellStyle name="Normal 15 6" xfId="395" xr:uid="{00000000-0005-0000-0000-0000AD030000}"/>
    <cellStyle name="Normal 15 6 2" xfId="1446" xr:uid="{00000000-0005-0000-0000-0000AE030000}"/>
    <cellStyle name="Normal 15 7" xfId="1198" xr:uid="{00000000-0005-0000-0000-0000AF030000}"/>
    <cellStyle name="Normal 16" xfId="84" xr:uid="{00000000-0005-0000-0000-0000B0030000}"/>
    <cellStyle name="Normal 16 2" xfId="165" xr:uid="{00000000-0005-0000-0000-0000B1030000}"/>
    <cellStyle name="Normal 16 2 2" xfId="319" xr:uid="{00000000-0005-0000-0000-0000B2030000}"/>
    <cellStyle name="Normal 16 2 2 2" xfId="1104" xr:uid="{00000000-0005-0000-0000-0000B3030000}"/>
    <cellStyle name="Normal 16 2 2 2 2" xfId="2150" xr:uid="{00000000-0005-0000-0000-0000B4030000}"/>
    <cellStyle name="Normal 16 2 2 3" xfId="838" xr:uid="{00000000-0005-0000-0000-0000B5030000}"/>
    <cellStyle name="Normal 16 2 2 3 2" xfId="1884" xr:uid="{00000000-0005-0000-0000-0000B6030000}"/>
    <cellStyle name="Normal 16 2 2 4" xfId="567" xr:uid="{00000000-0005-0000-0000-0000B7030000}"/>
    <cellStyle name="Normal 16 2 2 4 2" xfId="1618" xr:uid="{00000000-0005-0000-0000-0000B8030000}"/>
    <cellStyle name="Normal 16 2 2 5" xfId="1370" xr:uid="{00000000-0005-0000-0000-0000B9030000}"/>
    <cellStyle name="Normal 16 2 3" xfId="980" xr:uid="{00000000-0005-0000-0000-0000BA030000}"/>
    <cellStyle name="Normal 16 2 3 2" xfId="2026" xr:uid="{00000000-0005-0000-0000-0000BB030000}"/>
    <cellStyle name="Normal 16 2 4" xfId="714" xr:uid="{00000000-0005-0000-0000-0000BC030000}"/>
    <cellStyle name="Normal 16 2 4 2" xfId="1760" xr:uid="{00000000-0005-0000-0000-0000BD030000}"/>
    <cellStyle name="Normal 16 2 5" xfId="443" xr:uid="{00000000-0005-0000-0000-0000BE030000}"/>
    <cellStyle name="Normal 16 2 5 2" xfId="1494" xr:uid="{00000000-0005-0000-0000-0000BF030000}"/>
    <cellStyle name="Normal 16 2 6" xfId="1246" xr:uid="{00000000-0005-0000-0000-0000C0030000}"/>
    <cellStyle name="Normal 16 3" xfId="272" xr:uid="{00000000-0005-0000-0000-0000C1030000}"/>
    <cellStyle name="Normal 16 3 2" xfId="1057" xr:uid="{00000000-0005-0000-0000-0000C2030000}"/>
    <cellStyle name="Normal 16 3 2 2" xfId="2103" xr:uid="{00000000-0005-0000-0000-0000C3030000}"/>
    <cellStyle name="Normal 16 3 3" xfId="791" xr:uid="{00000000-0005-0000-0000-0000C4030000}"/>
    <cellStyle name="Normal 16 3 3 2" xfId="1837" xr:uid="{00000000-0005-0000-0000-0000C5030000}"/>
    <cellStyle name="Normal 16 3 4" xfId="520" xr:uid="{00000000-0005-0000-0000-0000C6030000}"/>
    <cellStyle name="Normal 16 3 4 2" xfId="1571" xr:uid="{00000000-0005-0000-0000-0000C7030000}"/>
    <cellStyle name="Normal 16 3 5" xfId="1323" xr:uid="{00000000-0005-0000-0000-0000C8030000}"/>
    <cellStyle name="Normal 16 4" xfId="933" xr:uid="{00000000-0005-0000-0000-0000C9030000}"/>
    <cellStyle name="Normal 16 4 2" xfId="1979" xr:uid="{00000000-0005-0000-0000-0000CA030000}"/>
    <cellStyle name="Normal 16 5" xfId="667" xr:uid="{00000000-0005-0000-0000-0000CB030000}"/>
    <cellStyle name="Normal 16 5 2" xfId="1713" xr:uid="{00000000-0005-0000-0000-0000CC030000}"/>
    <cellStyle name="Normal 16 6" xfId="396" xr:uid="{00000000-0005-0000-0000-0000CD030000}"/>
    <cellStyle name="Normal 16 6 2" xfId="1447" xr:uid="{00000000-0005-0000-0000-0000CE030000}"/>
    <cellStyle name="Normal 16 7" xfId="1199" xr:uid="{00000000-0005-0000-0000-0000CF030000}"/>
    <cellStyle name="Normal 17" xfId="85" xr:uid="{00000000-0005-0000-0000-0000D0030000}"/>
    <cellStyle name="Normal 17 2" xfId="166" xr:uid="{00000000-0005-0000-0000-0000D1030000}"/>
    <cellStyle name="Normal 17 2 2" xfId="320" xr:uid="{00000000-0005-0000-0000-0000D2030000}"/>
    <cellStyle name="Normal 17 2 2 2" xfId="1105" xr:uid="{00000000-0005-0000-0000-0000D3030000}"/>
    <cellStyle name="Normal 17 2 2 2 2" xfId="2151" xr:uid="{00000000-0005-0000-0000-0000D4030000}"/>
    <cellStyle name="Normal 17 2 2 3" xfId="839" xr:uid="{00000000-0005-0000-0000-0000D5030000}"/>
    <cellStyle name="Normal 17 2 2 3 2" xfId="1885" xr:uid="{00000000-0005-0000-0000-0000D6030000}"/>
    <cellStyle name="Normal 17 2 2 4" xfId="568" xr:uid="{00000000-0005-0000-0000-0000D7030000}"/>
    <cellStyle name="Normal 17 2 2 4 2" xfId="1619" xr:uid="{00000000-0005-0000-0000-0000D8030000}"/>
    <cellStyle name="Normal 17 2 2 5" xfId="1371" xr:uid="{00000000-0005-0000-0000-0000D9030000}"/>
    <cellStyle name="Normal 17 2 3" xfId="981" xr:uid="{00000000-0005-0000-0000-0000DA030000}"/>
    <cellStyle name="Normal 17 2 3 2" xfId="2027" xr:uid="{00000000-0005-0000-0000-0000DB030000}"/>
    <cellStyle name="Normal 17 2 4" xfId="715" xr:uid="{00000000-0005-0000-0000-0000DC030000}"/>
    <cellStyle name="Normal 17 2 4 2" xfId="1761" xr:uid="{00000000-0005-0000-0000-0000DD030000}"/>
    <cellStyle name="Normal 17 2 5" xfId="444" xr:uid="{00000000-0005-0000-0000-0000DE030000}"/>
    <cellStyle name="Normal 17 2 5 2" xfId="1495" xr:uid="{00000000-0005-0000-0000-0000DF030000}"/>
    <cellStyle name="Normal 17 2 6" xfId="1247" xr:uid="{00000000-0005-0000-0000-0000E0030000}"/>
    <cellStyle name="Normal 17 3" xfId="273" xr:uid="{00000000-0005-0000-0000-0000E1030000}"/>
    <cellStyle name="Normal 17 3 2" xfId="1058" xr:uid="{00000000-0005-0000-0000-0000E2030000}"/>
    <cellStyle name="Normal 17 3 2 2" xfId="2104" xr:uid="{00000000-0005-0000-0000-0000E3030000}"/>
    <cellStyle name="Normal 17 3 3" xfId="792" xr:uid="{00000000-0005-0000-0000-0000E4030000}"/>
    <cellStyle name="Normal 17 3 3 2" xfId="1838" xr:uid="{00000000-0005-0000-0000-0000E5030000}"/>
    <cellStyle name="Normal 17 3 4" xfId="521" xr:uid="{00000000-0005-0000-0000-0000E6030000}"/>
    <cellStyle name="Normal 17 3 4 2" xfId="1572" xr:uid="{00000000-0005-0000-0000-0000E7030000}"/>
    <cellStyle name="Normal 17 3 5" xfId="1324" xr:uid="{00000000-0005-0000-0000-0000E8030000}"/>
    <cellStyle name="Normal 17 4" xfId="934" xr:uid="{00000000-0005-0000-0000-0000E9030000}"/>
    <cellStyle name="Normal 17 4 2" xfId="1980" xr:uid="{00000000-0005-0000-0000-0000EA030000}"/>
    <cellStyle name="Normal 17 5" xfId="668" xr:uid="{00000000-0005-0000-0000-0000EB030000}"/>
    <cellStyle name="Normal 17 5 2" xfId="1714" xr:uid="{00000000-0005-0000-0000-0000EC030000}"/>
    <cellStyle name="Normal 17 6" xfId="397" xr:uid="{00000000-0005-0000-0000-0000ED030000}"/>
    <cellStyle name="Normal 17 6 2" xfId="1448" xr:uid="{00000000-0005-0000-0000-0000EE030000}"/>
    <cellStyle name="Normal 17 7" xfId="1200" xr:uid="{00000000-0005-0000-0000-0000EF030000}"/>
    <cellStyle name="Normal 18" xfId="86" xr:uid="{00000000-0005-0000-0000-0000F0030000}"/>
    <cellStyle name="Normal 18 2" xfId="167" xr:uid="{00000000-0005-0000-0000-0000F1030000}"/>
    <cellStyle name="Normal 18 2 2" xfId="321" xr:uid="{00000000-0005-0000-0000-0000F2030000}"/>
    <cellStyle name="Normal 18 2 2 2" xfId="1106" xr:uid="{00000000-0005-0000-0000-0000F3030000}"/>
    <cellStyle name="Normal 18 2 2 2 2" xfId="2152" xr:uid="{00000000-0005-0000-0000-0000F4030000}"/>
    <cellStyle name="Normal 18 2 2 3" xfId="840" xr:uid="{00000000-0005-0000-0000-0000F5030000}"/>
    <cellStyle name="Normal 18 2 2 3 2" xfId="1886" xr:uid="{00000000-0005-0000-0000-0000F6030000}"/>
    <cellStyle name="Normal 18 2 2 4" xfId="569" xr:uid="{00000000-0005-0000-0000-0000F7030000}"/>
    <cellStyle name="Normal 18 2 2 4 2" xfId="1620" xr:uid="{00000000-0005-0000-0000-0000F8030000}"/>
    <cellStyle name="Normal 18 2 2 5" xfId="1372" xr:uid="{00000000-0005-0000-0000-0000F9030000}"/>
    <cellStyle name="Normal 18 2 3" xfId="982" xr:uid="{00000000-0005-0000-0000-0000FA030000}"/>
    <cellStyle name="Normal 18 2 3 2" xfId="2028" xr:uid="{00000000-0005-0000-0000-0000FB030000}"/>
    <cellStyle name="Normal 18 2 4" xfId="716" xr:uid="{00000000-0005-0000-0000-0000FC030000}"/>
    <cellStyle name="Normal 18 2 4 2" xfId="1762" xr:uid="{00000000-0005-0000-0000-0000FD030000}"/>
    <cellStyle name="Normal 18 2 5" xfId="445" xr:uid="{00000000-0005-0000-0000-0000FE030000}"/>
    <cellStyle name="Normal 18 2 5 2" xfId="1496" xr:uid="{00000000-0005-0000-0000-0000FF030000}"/>
    <cellStyle name="Normal 18 2 6" xfId="1248" xr:uid="{00000000-0005-0000-0000-000000040000}"/>
    <cellStyle name="Normal 18 3" xfId="274" xr:uid="{00000000-0005-0000-0000-000001040000}"/>
    <cellStyle name="Normal 18 3 2" xfId="1059" xr:uid="{00000000-0005-0000-0000-000002040000}"/>
    <cellStyle name="Normal 18 3 2 2" xfId="2105" xr:uid="{00000000-0005-0000-0000-000003040000}"/>
    <cellStyle name="Normal 18 3 3" xfId="793" xr:uid="{00000000-0005-0000-0000-000004040000}"/>
    <cellStyle name="Normal 18 3 3 2" xfId="1839" xr:uid="{00000000-0005-0000-0000-000005040000}"/>
    <cellStyle name="Normal 18 3 4" xfId="522" xr:uid="{00000000-0005-0000-0000-000006040000}"/>
    <cellStyle name="Normal 18 3 4 2" xfId="1573" xr:uid="{00000000-0005-0000-0000-000007040000}"/>
    <cellStyle name="Normal 18 3 5" xfId="1325" xr:uid="{00000000-0005-0000-0000-000008040000}"/>
    <cellStyle name="Normal 18 4" xfId="935" xr:uid="{00000000-0005-0000-0000-000009040000}"/>
    <cellStyle name="Normal 18 4 2" xfId="1981" xr:uid="{00000000-0005-0000-0000-00000A040000}"/>
    <cellStyle name="Normal 18 5" xfId="669" xr:uid="{00000000-0005-0000-0000-00000B040000}"/>
    <cellStyle name="Normal 18 5 2" xfId="1715" xr:uid="{00000000-0005-0000-0000-00000C040000}"/>
    <cellStyle name="Normal 18 6" xfId="398" xr:uid="{00000000-0005-0000-0000-00000D040000}"/>
    <cellStyle name="Normal 18 6 2" xfId="1449" xr:uid="{00000000-0005-0000-0000-00000E040000}"/>
    <cellStyle name="Normal 18 7" xfId="1201" xr:uid="{00000000-0005-0000-0000-00000F040000}"/>
    <cellStyle name="Normal 19" xfId="87" xr:uid="{00000000-0005-0000-0000-000010040000}"/>
    <cellStyle name="Normal 19 2" xfId="17" xr:uid="{00000000-0005-0000-0000-000011040000}"/>
    <cellStyle name="Normal 2" xfId="4" xr:uid="{00000000-0005-0000-0000-000012040000}"/>
    <cellStyle name="Normal 2 2" xfId="5" xr:uid="{00000000-0005-0000-0000-000013040000}"/>
    <cellStyle name="Normal 2 2 2" xfId="6" xr:uid="{00000000-0005-0000-0000-000014040000}"/>
    <cellStyle name="Normal 2 2 2 2" xfId="138" xr:uid="{00000000-0005-0000-0000-000015040000}"/>
    <cellStyle name="Normal 2 2 2 3" xfId="153" xr:uid="{00000000-0005-0000-0000-000016040000}"/>
    <cellStyle name="Normal 2 2 2 3 2" xfId="307" xr:uid="{00000000-0005-0000-0000-000017040000}"/>
    <cellStyle name="Normal 2 2 2 3 2 2" xfId="1092" xr:uid="{00000000-0005-0000-0000-000018040000}"/>
    <cellStyle name="Normal 2 2 2 3 2 2 2" xfId="2138" xr:uid="{00000000-0005-0000-0000-000019040000}"/>
    <cellStyle name="Normal 2 2 2 3 2 3" xfId="826" xr:uid="{00000000-0005-0000-0000-00001A040000}"/>
    <cellStyle name="Normal 2 2 2 3 2 3 2" xfId="1872" xr:uid="{00000000-0005-0000-0000-00001B040000}"/>
    <cellStyle name="Normal 2 2 2 3 2 4" xfId="555" xr:uid="{00000000-0005-0000-0000-00001C040000}"/>
    <cellStyle name="Normal 2 2 2 3 2 4 2" xfId="1606" xr:uid="{00000000-0005-0000-0000-00001D040000}"/>
    <cellStyle name="Normal 2 2 2 3 2 5" xfId="1358" xr:uid="{00000000-0005-0000-0000-00001E040000}"/>
    <cellStyle name="Normal 2 2 2 3 3" xfId="968" xr:uid="{00000000-0005-0000-0000-00001F040000}"/>
    <cellStyle name="Normal 2 2 2 3 3 2" xfId="2014" xr:uid="{00000000-0005-0000-0000-000020040000}"/>
    <cellStyle name="Normal 2 2 2 3 4" xfId="702" xr:uid="{00000000-0005-0000-0000-000021040000}"/>
    <cellStyle name="Normal 2 2 2 3 4 2" xfId="1748" xr:uid="{00000000-0005-0000-0000-000022040000}"/>
    <cellStyle name="Normal 2 2 2 3 5" xfId="431" xr:uid="{00000000-0005-0000-0000-000023040000}"/>
    <cellStyle name="Normal 2 2 2 3 5 2" xfId="1482" xr:uid="{00000000-0005-0000-0000-000024040000}"/>
    <cellStyle name="Normal 2 2 2 3 6" xfId="1234" xr:uid="{00000000-0005-0000-0000-000025040000}"/>
    <cellStyle name="Normal 2 2 2 4" xfId="260" xr:uid="{00000000-0005-0000-0000-000026040000}"/>
    <cellStyle name="Normal 2 2 2 4 2" xfId="1045" xr:uid="{00000000-0005-0000-0000-000027040000}"/>
    <cellStyle name="Normal 2 2 2 4 2 2" xfId="2091" xr:uid="{00000000-0005-0000-0000-000028040000}"/>
    <cellStyle name="Normal 2 2 2 4 3" xfId="779" xr:uid="{00000000-0005-0000-0000-000029040000}"/>
    <cellStyle name="Normal 2 2 2 4 3 2" xfId="1825" xr:uid="{00000000-0005-0000-0000-00002A040000}"/>
    <cellStyle name="Normal 2 2 2 4 4" xfId="508" xr:uid="{00000000-0005-0000-0000-00002B040000}"/>
    <cellStyle name="Normal 2 2 2 4 4 2" xfId="1559" xr:uid="{00000000-0005-0000-0000-00002C040000}"/>
    <cellStyle name="Normal 2 2 2 4 5" xfId="1311" xr:uid="{00000000-0005-0000-0000-00002D040000}"/>
    <cellStyle name="Normal 2 2 2 5" xfId="921" xr:uid="{00000000-0005-0000-0000-00002E040000}"/>
    <cellStyle name="Normal 2 2 2 5 2" xfId="1967" xr:uid="{00000000-0005-0000-0000-00002F040000}"/>
    <cellStyle name="Normal 2 2 2 6" xfId="655" xr:uid="{00000000-0005-0000-0000-000030040000}"/>
    <cellStyle name="Normal 2 2 2 6 2" xfId="1701" xr:uid="{00000000-0005-0000-0000-000031040000}"/>
    <cellStyle name="Normal 2 2 2 7" xfId="384" xr:uid="{00000000-0005-0000-0000-000032040000}"/>
    <cellStyle name="Normal 2 2 2 7 2" xfId="1435" xr:uid="{00000000-0005-0000-0000-000033040000}"/>
    <cellStyle name="Normal 2 2 2 8" xfId="1187" xr:uid="{00000000-0005-0000-0000-000034040000}"/>
    <cellStyle name="Normal 2 2 3" xfId="88" xr:uid="{00000000-0005-0000-0000-000035040000}"/>
    <cellStyle name="Normal 2 2 4" xfId="89" xr:uid="{00000000-0005-0000-0000-000036040000}"/>
    <cellStyle name="Normal 2 2 4 2" xfId="168" xr:uid="{00000000-0005-0000-0000-000037040000}"/>
    <cellStyle name="Normal 2 2 4 2 2" xfId="322" xr:uid="{00000000-0005-0000-0000-000038040000}"/>
    <cellStyle name="Normal 2 2 4 2 2 2" xfId="1107" xr:uid="{00000000-0005-0000-0000-000039040000}"/>
    <cellStyle name="Normal 2 2 4 2 2 2 2" xfId="2153" xr:uid="{00000000-0005-0000-0000-00003A040000}"/>
    <cellStyle name="Normal 2 2 4 2 2 3" xfId="841" xr:uid="{00000000-0005-0000-0000-00003B040000}"/>
    <cellStyle name="Normal 2 2 4 2 2 3 2" xfId="1887" xr:uid="{00000000-0005-0000-0000-00003C040000}"/>
    <cellStyle name="Normal 2 2 4 2 2 4" xfId="570" xr:uid="{00000000-0005-0000-0000-00003D040000}"/>
    <cellStyle name="Normal 2 2 4 2 2 4 2" xfId="1621" xr:uid="{00000000-0005-0000-0000-00003E040000}"/>
    <cellStyle name="Normal 2 2 4 2 2 5" xfId="1373" xr:uid="{00000000-0005-0000-0000-00003F040000}"/>
    <cellStyle name="Normal 2 2 4 2 3" xfId="983" xr:uid="{00000000-0005-0000-0000-000040040000}"/>
    <cellStyle name="Normal 2 2 4 2 3 2" xfId="2029" xr:uid="{00000000-0005-0000-0000-000041040000}"/>
    <cellStyle name="Normal 2 2 4 2 4" xfId="717" xr:uid="{00000000-0005-0000-0000-000042040000}"/>
    <cellStyle name="Normal 2 2 4 2 4 2" xfId="1763" xr:uid="{00000000-0005-0000-0000-000043040000}"/>
    <cellStyle name="Normal 2 2 4 2 5" xfId="446" xr:uid="{00000000-0005-0000-0000-000044040000}"/>
    <cellStyle name="Normal 2 2 4 2 5 2" xfId="1497" xr:uid="{00000000-0005-0000-0000-000045040000}"/>
    <cellStyle name="Normal 2 2 4 2 6" xfId="1249" xr:uid="{00000000-0005-0000-0000-000046040000}"/>
    <cellStyle name="Normal 2 2 4 3" xfId="275" xr:uid="{00000000-0005-0000-0000-000047040000}"/>
    <cellStyle name="Normal 2 2 4 3 2" xfId="1060" xr:uid="{00000000-0005-0000-0000-000048040000}"/>
    <cellStyle name="Normal 2 2 4 3 2 2" xfId="2106" xr:uid="{00000000-0005-0000-0000-000049040000}"/>
    <cellStyle name="Normal 2 2 4 3 3" xfId="794" xr:uid="{00000000-0005-0000-0000-00004A040000}"/>
    <cellStyle name="Normal 2 2 4 3 3 2" xfId="1840" xr:uid="{00000000-0005-0000-0000-00004B040000}"/>
    <cellStyle name="Normal 2 2 4 3 4" xfId="523" xr:uid="{00000000-0005-0000-0000-00004C040000}"/>
    <cellStyle name="Normal 2 2 4 3 4 2" xfId="1574" xr:uid="{00000000-0005-0000-0000-00004D040000}"/>
    <cellStyle name="Normal 2 2 4 3 5" xfId="1326" xr:uid="{00000000-0005-0000-0000-00004E040000}"/>
    <cellStyle name="Normal 2 2 4 4" xfId="936" xr:uid="{00000000-0005-0000-0000-00004F040000}"/>
    <cellStyle name="Normal 2 2 4 4 2" xfId="1982" xr:uid="{00000000-0005-0000-0000-000050040000}"/>
    <cellStyle name="Normal 2 2 4 5" xfId="670" xr:uid="{00000000-0005-0000-0000-000051040000}"/>
    <cellStyle name="Normal 2 2 4 5 2" xfId="1716" xr:uid="{00000000-0005-0000-0000-000052040000}"/>
    <cellStyle name="Normal 2 2 4 6" xfId="399" xr:uid="{00000000-0005-0000-0000-000053040000}"/>
    <cellStyle name="Normal 2 2 4 6 2" xfId="1450" xr:uid="{00000000-0005-0000-0000-000054040000}"/>
    <cellStyle name="Normal 2 2 4 7" xfId="1202" xr:uid="{00000000-0005-0000-0000-000055040000}"/>
    <cellStyle name="Normal 2 2 5" xfId="137" xr:uid="{00000000-0005-0000-0000-000056040000}"/>
    <cellStyle name="Normal 2 2 5 2" xfId="191" xr:uid="{00000000-0005-0000-0000-000057040000}"/>
    <cellStyle name="Normal 2 2 5 2 2" xfId="345" xr:uid="{00000000-0005-0000-0000-000058040000}"/>
    <cellStyle name="Normal 2 2 5 2 2 2" xfId="1130" xr:uid="{00000000-0005-0000-0000-000059040000}"/>
    <cellStyle name="Normal 2 2 5 2 2 2 2" xfId="2176" xr:uid="{00000000-0005-0000-0000-00005A040000}"/>
    <cellStyle name="Normal 2 2 5 2 2 3" xfId="864" xr:uid="{00000000-0005-0000-0000-00005B040000}"/>
    <cellStyle name="Normal 2 2 5 2 2 3 2" xfId="1910" xr:uid="{00000000-0005-0000-0000-00005C040000}"/>
    <cellStyle name="Normal 2 2 5 2 2 4" xfId="593" xr:uid="{00000000-0005-0000-0000-00005D040000}"/>
    <cellStyle name="Normal 2 2 5 2 2 4 2" xfId="1644" xr:uid="{00000000-0005-0000-0000-00005E040000}"/>
    <cellStyle name="Normal 2 2 5 2 2 5" xfId="1396" xr:uid="{00000000-0005-0000-0000-00005F040000}"/>
    <cellStyle name="Normal 2 2 5 2 3" xfId="1006" xr:uid="{00000000-0005-0000-0000-000060040000}"/>
    <cellStyle name="Normal 2 2 5 2 3 2" xfId="2052" xr:uid="{00000000-0005-0000-0000-000061040000}"/>
    <cellStyle name="Normal 2 2 5 2 4" xfId="740" xr:uid="{00000000-0005-0000-0000-000062040000}"/>
    <cellStyle name="Normal 2 2 5 2 4 2" xfId="1786" xr:uid="{00000000-0005-0000-0000-000063040000}"/>
    <cellStyle name="Normal 2 2 5 2 5" xfId="469" xr:uid="{00000000-0005-0000-0000-000064040000}"/>
    <cellStyle name="Normal 2 2 5 2 5 2" xfId="1520" xr:uid="{00000000-0005-0000-0000-000065040000}"/>
    <cellStyle name="Normal 2 2 5 2 6" xfId="1272" xr:uid="{00000000-0005-0000-0000-000066040000}"/>
    <cellStyle name="Normal 2 2 5 3" xfId="298" xr:uid="{00000000-0005-0000-0000-000067040000}"/>
    <cellStyle name="Normal 2 2 5 3 2" xfId="1083" xr:uid="{00000000-0005-0000-0000-000068040000}"/>
    <cellStyle name="Normal 2 2 5 3 2 2" xfId="2129" xr:uid="{00000000-0005-0000-0000-000069040000}"/>
    <cellStyle name="Normal 2 2 5 3 3" xfId="817" xr:uid="{00000000-0005-0000-0000-00006A040000}"/>
    <cellStyle name="Normal 2 2 5 3 3 2" xfId="1863" xr:uid="{00000000-0005-0000-0000-00006B040000}"/>
    <cellStyle name="Normal 2 2 5 3 4" xfId="546" xr:uid="{00000000-0005-0000-0000-00006C040000}"/>
    <cellStyle name="Normal 2 2 5 3 4 2" xfId="1597" xr:uid="{00000000-0005-0000-0000-00006D040000}"/>
    <cellStyle name="Normal 2 2 5 3 5" xfId="1349" xr:uid="{00000000-0005-0000-0000-00006E040000}"/>
    <cellStyle name="Normal 2 2 5 4" xfId="959" xr:uid="{00000000-0005-0000-0000-00006F040000}"/>
    <cellStyle name="Normal 2 2 5 4 2" xfId="2005" xr:uid="{00000000-0005-0000-0000-000070040000}"/>
    <cellStyle name="Normal 2 2 5 5" xfId="693" xr:uid="{00000000-0005-0000-0000-000071040000}"/>
    <cellStyle name="Normal 2 2 5 5 2" xfId="1739" xr:uid="{00000000-0005-0000-0000-000072040000}"/>
    <cellStyle name="Normal 2 2 5 6" xfId="422" xr:uid="{00000000-0005-0000-0000-000073040000}"/>
    <cellStyle name="Normal 2 2 5 6 2" xfId="1473" xr:uid="{00000000-0005-0000-0000-000074040000}"/>
    <cellStyle name="Normal 2 2 5 7" xfId="1225" xr:uid="{00000000-0005-0000-0000-000075040000}"/>
    <cellStyle name="Normal 2 3" xfId="90" xr:uid="{00000000-0005-0000-0000-000076040000}"/>
    <cellStyle name="Normal 2 3 10" xfId="1203" xr:uid="{00000000-0005-0000-0000-000077040000}"/>
    <cellStyle name="Normal 2 3 2" xfId="91" xr:uid="{00000000-0005-0000-0000-000078040000}"/>
    <cellStyle name="Normal 2 3 2 2" xfId="140" xr:uid="{00000000-0005-0000-0000-000079040000}"/>
    <cellStyle name="Normal 2 3 2 2 2" xfId="193" xr:uid="{00000000-0005-0000-0000-00007A040000}"/>
    <cellStyle name="Normal 2 3 2 2 2 2" xfId="347" xr:uid="{00000000-0005-0000-0000-00007B040000}"/>
    <cellStyle name="Normal 2 3 2 2 2 2 2" xfId="1132" xr:uid="{00000000-0005-0000-0000-00007C040000}"/>
    <cellStyle name="Normal 2 3 2 2 2 2 2 2" xfId="2178" xr:uid="{00000000-0005-0000-0000-00007D040000}"/>
    <cellStyle name="Normal 2 3 2 2 2 2 3" xfId="866" xr:uid="{00000000-0005-0000-0000-00007E040000}"/>
    <cellStyle name="Normal 2 3 2 2 2 2 3 2" xfId="1912" xr:uid="{00000000-0005-0000-0000-00007F040000}"/>
    <cellStyle name="Normal 2 3 2 2 2 2 4" xfId="595" xr:uid="{00000000-0005-0000-0000-000080040000}"/>
    <cellStyle name="Normal 2 3 2 2 2 2 4 2" xfId="1646" xr:uid="{00000000-0005-0000-0000-000081040000}"/>
    <cellStyle name="Normal 2 3 2 2 2 2 5" xfId="1398" xr:uid="{00000000-0005-0000-0000-000082040000}"/>
    <cellStyle name="Normal 2 3 2 2 2 3" xfId="1008" xr:uid="{00000000-0005-0000-0000-000083040000}"/>
    <cellStyle name="Normal 2 3 2 2 2 3 2" xfId="2054" xr:uid="{00000000-0005-0000-0000-000084040000}"/>
    <cellStyle name="Normal 2 3 2 2 2 4" xfId="742" xr:uid="{00000000-0005-0000-0000-000085040000}"/>
    <cellStyle name="Normal 2 3 2 2 2 4 2" xfId="1788" xr:uid="{00000000-0005-0000-0000-000086040000}"/>
    <cellStyle name="Normal 2 3 2 2 2 5" xfId="471" xr:uid="{00000000-0005-0000-0000-000087040000}"/>
    <cellStyle name="Normal 2 3 2 2 2 5 2" xfId="1522" xr:uid="{00000000-0005-0000-0000-000088040000}"/>
    <cellStyle name="Normal 2 3 2 2 2 6" xfId="1274" xr:uid="{00000000-0005-0000-0000-000089040000}"/>
    <cellStyle name="Normal 2 3 2 2 3" xfId="300" xr:uid="{00000000-0005-0000-0000-00008A040000}"/>
    <cellStyle name="Normal 2 3 2 2 3 2" xfId="1085" xr:uid="{00000000-0005-0000-0000-00008B040000}"/>
    <cellStyle name="Normal 2 3 2 2 3 2 2" xfId="2131" xr:uid="{00000000-0005-0000-0000-00008C040000}"/>
    <cellStyle name="Normal 2 3 2 2 3 3" xfId="819" xr:uid="{00000000-0005-0000-0000-00008D040000}"/>
    <cellStyle name="Normal 2 3 2 2 3 3 2" xfId="1865" xr:uid="{00000000-0005-0000-0000-00008E040000}"/>
    <cellStyle name="Normal 2 3 2 2 3 4" xfId="548" xr:uid="{00000000-0005-0000-0000-00008F040000}"/>
    <cellStyle name="Normal 2 3 2 2 3 4 2" xfId="1599" xr:uid="{00000000-0005-0000-0000-000090040000}"/>
    <cellStyle name="Normal 2 3 2 2 3 5" xfId="1351" xr:uid="{00000000-0005-0000-0000-000091040000}"/>
    <cellStyle name="Normal 2 3 2 2 4" xfId="961" xr:uid="{00000000-0005-0000-0000-000092040000}"/>
    <cellStyle name="Normal 2 3 2 2 4 2" xfId="2007" xr:uid="{00000000-0005-0000-0000-000093040000}"/>
    <cellStyle name="Normal 2 3 2 2 5" xfId="695" xr:uid="{00000000-0005-0000-0000-000094040000}"/>
    <cellStyle name="Normal 2 3 2 2 5 2" xfId="1741" xr:uid="{00000000-0005-0000-0000-000095040000}"/>
    <cellStyle name="Normal 2 3 2 2 6" xfId="424" xr:uid="{00000000-0005-0000-0000-000096040000}"/>
    <cellStyle name="Normal 2 3 2 2 6 2" xfId="1475" xr:uid="{00000000-0005-0000-0000-000097040000}"/>
    <cellStyle name="Normal 2 3 2 2 7" xfId="1227" xr:uid="{00000000-0005-0000-0000-000098040000}"/>
    <cellStyle name="Normal 2 3 2 3" xfId="170" xr:uid="{00000000-0005-0000-0000-000099040000}"/>
    <cellStyle name="Normal 2 3 2 3 2" xfId="324" xr:uid="{00000000-0005-0000-0000-00009A040000}"/>
    <cellStyle name="Normal 2 3 2 3 2 2" xfId="1109" xr:uid="{00000000-0005-0000-0000-00009B040000}"/>
    <cellStyle name="Normal 2 3 2 3 2 2 2" xfId="2155" xr:uid="{00000000-0005-0000-0000-00009C040000}"/>
    <cellStyle name="Normal 2 3 2 3 2 3" xfId="843" xr:uid="{00000000-0005-0000-0000-00009D040000}"/>
    <cellStyle name="Normal 2 3 2 3 2 3 2" xfId="1889" xr:uid="{00000000-0005-0000-0000-00009E040000}"/>
    <cellStyle name="Normal 2 3 2 3 2 4" xfId="572" xr:uid="{00000000-0005-0000-0000-00009F040000}"/>
    <cellStyle name="Normal 2 3 2 3 2 4 2" xfId="1623" xr:uid="{00000000-0005-0000-0000-0000A0040000}"/>
    <cellStyle name="Normal 2 3 2 3 2 5" xfId="1375" xr:uid="{00000000-0005-0000-0000-0000A1040000}"/>
    <cellStyle name="Normal 2 3 2 3 3" xfId="985" xr:uid="{00000000-0005-0000-0000-0000A2040000}"/>
    <cellStyle name="Normal 2 3 2 3 3 2" xfId="2031" xr:uid="{00000000-0005-0000-0000-0000A3040000}"/>
    <cellStyle name="Normal 2 3 2 3 4" xfId="719" xr:uid="{00000000-0005-0000-0000-0000A4040000}"/>
    <cellStyle name="Normal 2 3 2 3 4 2" xfId="1765" xr:uid="{00000000-0005-0000-0000-0000A5040000}"/>
    <cellStyle name="Normal 2 3 2 3 5" xfId="448" xr:uid="{00000000-0005-0000-0000-0000A6040000}"/>
    <cellStyle name="Normal 2 3 2 3 5 2" xfId="1499" xr:uid="{00000000-0005-0000-0000-0000A7040000}"/>
    <cellStyle name="Normal 2 3 2 3 6" xfId="1251" xr:uid="{00000000-0005-0000-0000-0000A8040000}"/>
    <cellStyle name="Normal 2 3 2 4" xfId="277" xr:uid="{00000000-0005-0000-0000-0000A9040000}"/>
    <cellStyle name="Normal 2 3 2 4 2" xfId="1062" xr:uid="{00000000-0005-0000-0000-0000AA040000}"/>
    <cellStyle name="Normal 2 3 2 4 2 2" xfId="2108" xr:uid="{00000000-0005-0000-0000-0000AB040000}"/>
    <cellStyle name="Normal 2 3 2 4 3" xfId="796" xr:uid="{00000000-0005-0000-0000-0000AC040000}"/>
    <cellStyle name="Normal 2 3 2 4 3 2" xfId="1842" xr:uid="{00000000-0005-0000-0000-0000AD040000}"/>
    <cellStyle name="Normal 2 3 2 4 4" xfId="525" xr:uid="{00000000-0005-0000-0000-0000AE040000}"/>
    <cellStyle name="Normal 2 3 2 4 4 2" xfId="1576" xr:uid="{00000000-0005-0000-0000-0000AF040000}"/>
    <cellStyle name="Normal 2 3 2 4 5" xfId="1328" xr:uid="{00000000-0005-0000-0000-0000B0040000}"/>
    <cellStyle name="Normal 2 3 2 5" xfId="938" xr:uid="{00000000-0005-0000-0000-0000B1040000}"/>
    <cellStyle name="Normal 2 3 2 5 2" xfId="1984" xr:uid="{00000000-0005-0000-0000-0000B2040000}"/>
    <cellStyle name="Normal 2 3 2 6" xfId="672" xr:uid="{00000000-0005-0000-0000-0000B3040000}"/>
    <cellStyle name="Normal 2 3 2 6 2" xfId="1718" xr:uid="{00000000-0005-0000-0000-0000B4040000}"/>
    <cellStyle name="Normal 2 3 2 7" xfId="401" xr:uid="{00000000-0005-0000-0000-0000B5040000}"/>
    <cellStyle name="Normal 2 3 2 7 2" xfId="1452" xr:uid="{00000000-0005-0000-0000-0000B6040000}"/>
    <cellStyle name="Normal 2 3 2 8" xfId="1204" xr:uid="{00000000-0005-0000-0000-0000B7040000}"/>
    <cellStyle name="Normal 2 3 3" xfId="92" xr:uid="{00000000-0005-0000-0000-0000B8040000}"/>
    <cellStyle name="Normal 2 3 4" xfId="139" xr:uid="{00000000-0005-0000-0000-0000B9040000}"/>
    <cellStyle name="Normal 2 3 4 2" xfId="192" xr:uid="{00000000-0005-0000-0000-0000BA040000}"/>
    <cellStyle name="Normal 2 3 4 2 2" xfId="346" xr:uid="{00000000-0005-0000-0000-0000BB040000}"/>
    <cellStyle name="Normal 2 3 4 2 2 2" xfId="1131" xr:uid="{00000000-0005-0000-0000-0000BC040000}"/>
    <cellStyle name="Normal 2 3 4 2 2 2 2" xfId="2177" xr:uid="{00000000-0005-0000-0000-0000BD040000}"/>
    <cellStyle name="Normal 2 3 4 2 2 3" xfId="865" xr:uid="{00000000-0005-0000-0000-0000BE040000}"/>
    <cellStyle name="Normal 2 3 4 2 2 3 2" xfId="1911" xr:uid="{00000000-0005-0000-0000-0000BF040000}"/>
    <cellStyle name="Normal 2 3 4 2 2 4" xfId="594" xr:uid="{00000000-0005-0000-0000-0000C0040000}"/>
    <cellStyle name="Normal 2 3 4 2 2 4 2" xfId="1645" xr:uid="{00000000-0005-0000-0000-0000C1040000}"/>
    <cellStyle name="Normal 2 3 4 2 2 5" xfId="1397" xr:uid="{00000000-0005-0000-0000-0000C2040000}"/>
    <cellStyle name="Normal 2 3 4 2 3" xfId="1007" xr:uid="{00000000-0005-0000-0000-0000C3040000}"/>
    <cellStyle name="Normal 2 3 4 2 3 2" xfId="2053" xr:uid="{00000000-0005-0000-0000-0000C4040000}"/>
    <cellStyle name="Normal 2 3 4 2 4" xfId="741" xr:uid="{00000000-0005-0000-0000-0000C5040000}"/>
    <cellStyle name="Normal 2 3 4 2 4 2" xfId="1787" xr:uid="{00000000-0005-0000-0000-0000C6040000}"/>
    <cellStyle name="Normal 2 3 4 2 5" xfId="470" xr:uid="{00000000-0005-0000-0000-0000C7040000}"/>
    <cellStyle name="Normal 2 3 4 2 5 2" xfId="1521" xr:uid="{00000000-0005-0000-0000-0000C8040000}"/>
    <cellStyle name="Normal 2 3 4 2 6" xfId="1273" xr:uid="{00000000-0005-0000-0000-0000C9040000}"/>
    <cellStyle name="Normal 2 3 4 3" xfId="299" xr:uid="{00000000-0005-0000-0000-0000CA040000}"/>
    <cellStyle name="Normal 2 3 4 3 2" xfId="1084" xr:uid="{00000000-0005-0000-0000-0000CB040000}"/>
    <cellStyle name="Normal 2 3 4 3 2 2" xfId="2130" xr:uid="{00000000-0005-0000-0000-0000CC040000}"/>
    <cellStyle name="Normal 2 3 4 3 3" xfId="818" xr:uid="{00000000-0005-0000-0000-0000CD040000}"/>
    <cellStyle name="Normal 2 3 4 3 3 2" xfId="1864" xr:uid="{00000000-0005-0000-0000-0000CE040000}"/>
    <cellStyle name="Normal 2 3 4 3 4" xfId="547" xr:uid="{00000000-0005-0000-0000-0000CF040000}"/>
    <cellStyle name="Normal 2 3 4 3 4 2" xfId="1598" xr:uid="{00000000-0005-0000-0000-0000D0040000}"/>
    <cellStyle name="Normal 2 3 4 3 5" xfId="1350" xr:uid="{00000000-0005-0000-0000-0000D1040000}"/>
    <cellStyle name="Normal 2 3 4 4" xfId="960" xr:uid="{00000000-0005-0000-0000-0000D2040000}"/>
    <cellStyle name="Normal 2 3 4 4 2" xfId="2006" xr:uid="{00000000-0005-0000-0000-0000D3040000}"/>
    <cellStyle name="Normal 2 3 4 5" xfId="694" xr:uid="{00000000-0005-0000-0000-0000D4040000}"/>
    <cellStyle name="Normal 2 3 4 5 2" xfId="1740" xr:uid="{00000000-0005-0000-0000-0000D5040000}"/>
    <cellStyle name="Normal 2 3 4 6" xfId="423" xr:uid="{00000000-0005-0000-0000-0000D6040000}"/>
    <cellStyle name="Normal 2 3 4 6 2" xfId="1474" xr:uid="{00000000-0005-0000-0000-0000D7040000}"/>
    <cellStyle name="Normal 2 3 4 7" xfId="1226" xr:uid="{00000000-0005-0000-0000-0000D8040000}"/>
    <cellStyle name="Normal 2 3 5" xfId="169" xr:uid="{00000000-0005-0000-0000-0000D9040000}"/>
    <cellStyle name="Normal 2 3 5 2" xfId="323" xr:uid="{00000000-0005-0000-0000-0000DA040000}"/>
    <cellStyle name="Normal 2 3 5 2 2" xfId="1108" xr:uid="{00000000-0005-0000-0000-0000DB040000}"/>
    <cellStyle name="Normal 2 3 5 2 2 2" xfId="2154" xr:uid="{00000000-0005-0000-0000-0000DC040000}"/>
    <cellStyle name="Normal 2 3 5 2 3" xfId="842" xr:uid="{00000000-0005-0000-0000-0000DD040000}"/>
    <cellStyle name="Normal 2 3 5 2 3 2" xfId="1888" xr:uid="{00000000-0005-0000-0000-0000DE040000}"/>
    <cellStyle name="Normal 2 3 5 2 4" xfId="571" xr:uid="{00000000-0005-0000-0000-0000DF040000}"/>
    <cellStyle name="Normal 2 3 5 2 4 2" xfId="1622" xr:uid="{00000000-0005-0000-0000-0000E0040000}"/>
    <cellStyle name="Normal 2 3 5 2 5" xfId="1374" xr:uid="{00000000-0005-0000-0000-0000E1040000}"/>
    <cellStyle name="Normal 2 3 5 3" xfId="984" xr:uid="{00000000-0005-0000-0000-0000E2040000}"/>
    <cellStyle name="Normal 2 3 5 3 2" xfId="2030" xr:uid="{00000000-0005-0000-0000-0000E3040000}"/>
    <cellStyle name="Normal 2 3 5 4" xfId="718" xr:uid="{00000000-0005-0000-0000-0000E4040000}"/>
    <cellStyle name="Normal 2 3 5 4 2" xfId="1764" xr:uid="{00000000-0005-0000-0000-0000E5040000}"/>
    <cellStyle name="Normal 2 3 5 5" xfId="447" xr:uid="{00000000-0005-0000-0000-0000E6040000}"/>
    <cellStyle name="Normal 2 3 5 5 2" xfId="1498" xr:uid="{00000000-0005-0000-0000-0000E7040000}"/>
    <cellStyle name="Normal 2 3 5 6" xfId="1250" xr:uid="{00000000-0005-0000-0000-0000E8040000}"/>
    <cellStyle name="Normal 2 3 6" xfId="276" xr:uid="{00000000-0005-0000-0000-0000E9040000}"/>
    <cellStyle name="Normal 2 3 6 2" xfId="1061" xr:uid="{00000000-0005-0000-0000-0000EA040000}"/>
    <cellStyle name="Normal 2 3 6 2 2" xfId="2107" xr:uid="{00000000-0005-0000-0000-0000EB040000}"/>
    <cellStyle name="Normal 2 3 6 3" xfId="795" xr:uid="{00000000-0005-0000-0000-0000EC040000}"/>
    <cellStyle name="Normal 2 3 6 3 2" xfId="1841" xr:uid="{00000000-0005-0000-0000-0000ED040000}"/>
    <cellStyle name="Normal 2 3 6 4" xfId="524" xr:uid="{00000000-0005-0000-0000-0000EE040000}"/>
    <cellStyle name="Normal 2 3 6 4 2" xfId="1575" xr:uid="{00000000-0005-0000-0000-0000EF040000}"/>
    <cellStyle name="Normal 2 3 6 5" xfId="1327" xr:uid="{00000000-0005-0000-0000-0000F0040000}"/>
    <cellStyle name="Normal 2 3 7" xfId="937" xr:uid="{00000000-0005-0000-0000-0000F1040000}"/>
    <cellStyle name="Normal 2 3 7 2" xfId="1983" xr:uid="{00000000-0005-0000-0000-0000F2040000}"/>
    <cellStyle name="Normal 2 3 8" xfId="671" xr:uid="{00000000-0005-0000-0000-0000F3040000}"/>
    <cellStyle name="Normal 2 3 8 2" xfId="1717" xr:uid="{00000000-0005-0000-0000-0000F4040000}"/>
    <cellStyle name="Normal 2 3 9" xfId="400" xr:uid="{00000000-0005-0000-0000-0000F5040000}"/>
    <cellStyle name="Normal 2 3 9 2" xfId="1451" xr:uid="{00000000-0005-0000-0000-0000F6040000}"/>
    <cellStyle name="Normal 2 4" xfId="93" xr:uid="{00000000-0005-0000-0000-0000F7040000}"/>
    <cellStyle name="Normal 2 5" xfId="94" xr:uid="{00000000-0005-0000-0000-0000F8040000}"/>
    <cellStyle name="Normal 2 6" xfId="95" xr:uid="{00000000-0005-0000-0000-0000F9040000}"/>
    <cellStyle name="Normal 2 7" xfId="96" xr:uid="{00000000-0005-0000-0000-0000FA040000}"/>
    <cellStyle name="Normal 2 7 2" xfId="171" xr:uid="{00000000-0005-0000-0000-0000FB040000}"/>
    <cellStyle name="Normal 2 7 2 2" xfId="325" xr:uid="{00000000-0005-0000-0000-0000FC040000}"/>
    <cellStyle name="Normal 2 7 2 2 2" xfId="1110" xr:uid="{00000000-0005-0000-0000-0000FD040000}"/>
    <cellStyle name="Normal 2 7 2 2 2 2" xfId="2156" xr:uid="{00000000-0005-0000-0000-0000FE040000}"/>
    <cellStyle name="Normal 2 7 2 2 3" xfId="844" xr:uid="{00000000-0005-0000-0000-0000FF040000}"/>
    <cellStyle name="Normal 2 7 2 2 3 2" xfId="1890" xr:uid="{00000000-0005-0000-0000-000000050000}"/>
    <cellStyle name="Normal 2 7 2 2 4" xfId="573" xr:uid="{00000000-0005-0000-0000-000001050000}"/>
    <cellStyle name="Normal 2 7 2 2 4 2" xfId="1624" xr:uid="{00000000-0005-0000-0000-000002050000}"/>
    <cellStyle name="Normal 2 7 2 2 5" xfId="1376" xr:uid="{00000000-0005-0000-0000-000003050000}"/>
    <cellStyle name="Normal 2 7 2 3" xfId="986" xr:uid="{00000000-0005-0000-0000-000004050000}"/>
    <cellStyle name="Normal 2 7 2 3 2" xfId="2032" xr:uid="{00000000-0005-0000-0000-000005050000}"/>
    <cellStyle name="Normal 2 7 2 4" xfId="720" xr:uid="{00000000-0005-0000-0000-000006050000}"/>
    <cellStyle name="Normal 2 7 2 4 2" xfId="1766" xr:uid="{00000000-0005-0000-0000-000007050000}"/>
    <cellStyle name="Normal 2 7 2 5" xfId="449" xr:uid="{00000000-0005-0000-0000-000008050000}"/>
    <cellStyle name="Normal 2 7 2 5 2" xfId="1500" xr:uid="{00000000-0005-0000-0000-000009050000}"/>
    <cellStyle name="Normal 2 7 2 6" xfId="1252" xr:uid="{00000000-0005-0000-0000-00000A050000}"/>
    <cellStyle name="Normal 2 7 3" xfId="278" xr:uid="{00000000-0005-0000-0000-00000B050000}"/>
    <cellStyle name="Normal 2 7 3 2" xfId="1063" xr:uid="{00000000-0005-0000-0000-00000C050000}"/>
    <cellStyle name="Normal 2 7 3 2 2" xfId="2109" xr:uid="{00000000-0005-0000-0000-00000D050000}"/>
    <cellStyle name="Normal 2 7 3 3" xfId="797" xr:uid="{00000000-0005-0000-0000-00000E050000}"/>
    <cellStyle name="Normal 2 7 3 3 2" xfId="1843" xr:uid="{00000000-0005-0000-0000-00000F050000}"/>
    <cellStyle name="Normal 2 7 3 4" xfId="526" xr:uid="{00000000-0005-0000-0000-000010050000}"/>
    <cellStyle name="Normal 2 7 3 4 2" xfId="1577" xr:uid="{00000000-0005-0000-0000-000011050000}"/>
    <cellStyle name="Normal 2 7 3 5" xfId="1329" xr:uid="{00000000-0005-0000-0000-000012050000}"/>
    <cellStyle name="Normal 2 7 4" xfId="939" xr:uid="{00000000-0005-0000-0000-000013050000}"/>
    <cellStyle name="Normal 2 7 4 2" xfId="1985" xr:uid="{00000000-0005-0000-0000-000014050000}"/>
    <cellStyle name="Normal 2 7 5" xfId="673" xr:uid="{00000000-0005-0000-0000-000015050000}"/>
    <cellStyle name="Normal 2 7 5 2" xfId="1719" xr:uid="{00000000-0005-0000-0000-000016050000}"/>
    <cellStyle name="Normal 2 7 6" xfId="402" xr:uid="{00000000-0005-0000-0000-000017050000}"/>
    <cellStyle name="Normal 2 7 6 2" xfId="1453" xr:uid="{00000000-0005-0000-0000-000018050000}"/>
    <cellStyle name="Normal 2 7 7" xfId="1205" xr:uid="{00000000-0005-0000-0000-000019050000}"/>
    <cellStyle name="Normal 20" xfId="97" xr:uid="{00000000-0005-0000-0000-00001A050000}"/>
    <cellStyle name="Normal 20 2" xfId="172" xr:uid="{00000000-0005-0000-0000-00001B050000}"/>
    <cellStyle name="Normal 20 2 2" xfId="326" xr:uid="{00000000-0005-0000-0000-00001C050000}"/>
    <cellStyle name="Normal 20 2 2 2" xfId="1111" xr:uid="{00000000-0005-0000-0000-00001D050000}"/>
    <cellStyle name="Normal 20 2 2 2 2" xfId="2157" xr:uid="{00000000-0005-0000-0000-00001E050000}"/>
    <cellStyle name="Normal 20 2 2 3" xfId="845" xr:uid="{00000000-0005-0000-0000-00001F050000}"/>
    <cellStyle name="Normal 20 2 2 3 2" xfId="1891" xr:uid="{00000000-0005-0000-0000-000020050000}"/>
    <cellStyle name="Normal 20 2 2 4" xfId="574" xr:uid="{00000000-0005-0000-0000-000021050000}"/>
    <cellStyle name="Normal 20 2 2 4 2" xfId="1625" xr:uid="{00000000-0005-0000-0000-000022050000}"/>
    <cellStyle name="Normal 20 2 2 5" xfId="1377" xr:uid="{00000000-0005-0000-0000-000023050000}"/>
    <cellStyle name="Normal 20 2 3" xfId="987" xr:uid="{00000000-0005-0000-0000-000024050000}"/>
    <cellStyle name="Normal 20 2 3 2" xfId="2033" xr:uid="{00000000-0005-0000-0000-000025050000}"/>
    <cellStyle name="Normal 20 2 4" xfId="721" xr:uid="{00000000-0005-0000-0000-000026050000}"/>
    <cellStyle name="Normal 20 2 4 2" xfId="1767" xr:uid="{00000000-0005-0000-0000-000027050000}"/>
    <cellStyle name="Normal 20 2 5" xfId="450" xr:uid="{00000000-0005-0000-0000-000028050000}"/>
    <cellStyle name="Normal 20 2 5 2" xfId="1501" xr:uid="{00000000-0005-0000-0000-000029050000}"/>
    <cellStyle name="Normal 20 2 6" xfId="1253" xr:uid="{00000000-0005-0000-0000-00002A050000}"/>
    <cellStyle name="Normal 20 3" xfId="279" xr:uid="{00000000-0005-0000-0000-00002B050000}"/>
    <cellStyle name="Normal 20 3 2" xfId="1064" xr:uid="{00000000-0005-0000-0000-00002C050000}"/>
    <cellStyle name="Normal 20 3 2 2" xfId="2110" xr:uid="{00000000-0005-0000-0000-00002D050000}"/>
    <cellStyle name="Normal 20 3 3" xfId="798" xr:uid="{00000000-0005-0000-0000-00002E050000}"/>
    <cellStyle name="Normal 20 3 3 2" xfId="1844" xr:uid="{00000000-0005-0000-0000-00002F050000}"/>
    <cellStyle name="Normal 20 3 4" xfId="527" xr:uid="{00000000-0005-0000-0000-000030050000}"/>
    <cellStyle name="Normal 20 3 4 2" xfId="1578" xr:uid="{00000000-0005-0000-0000-000031050000}"/>
    <cellStyle name="Normal 20 3 5" xfId="1330" xr:uid="{00000000-0005-0000-0000-000032050000}"/>
    <cellStyle name="Normal 20 4" xfId="940" xr:uid="{00000000-0005-0000-0000-000033050000}"/>
    <cellStyle name="Normal 20 4 2" xfId="1986" xr:uid="{00000000-0005-0000-0000-000034050000}"/>
    <cellStyle name="Normal 20 5" xfId="674" xr:uid="{00000000-0005-0000-0000-000035050000}"/>
    <cellStyle name="Normal 20 5 2" xfId="1720" xr:uid="{00000000-0005-0000-0000-000036050000}"/>
    <cellStyle name="Normal 20 6" xfId="403" xr:uid="{00000000-0005-0000-0000-000037050000}"/>
    <cellStyle name="Normal 20 6 2" xfId="1454" xr:uid="{00000000-0005-0000-0000-000038050000}"/>
    <cellStyle name="Normal 20 7" xfId="1206" xr:uid="{00000000-0005-0000-0000-000039050000}"/>
    <cellStyle name="Normal 21" xfId="132" xr:uid="{00000000-0005-0000-0000-00003A050000}"/>
    <cellStyle name="Normal 21 2" xfId="186" xr:uid="{00000000-0005-0000-0000-00003B050000}"/>
    <cellStyle name="Normal 21 2 2" xfId="340" xr:uid="{00000000-0005-0000-0000-00003C050000}"/>
    <cellStyle name="Normal 21 2 2 2" xfId="1125" xr:uid="{00000000-0005-0000-0000-00003D050000}"/>
    <cellStyle name="Normal 21 2 2 2 2" xfId="2171" xr:uid="{00000000-0005-0000-0000-00003E050000}"/>
    <cellStyle name="Normal 21 2 2 3" xfId="859" xr:uid="{00000000-0005-0000-0000-00003F050000}"/>
    <cellStyle name="Normal 21 2 2 3 2" xfId="1905" xr:uid="{00000000-0005-0000-0000-000040050000}"/>
    <cellStyle name="Normal 21 2 2 4" xfId="588" xr:uid="{00000000-0005-0000-0000-000041050000}"/>
    <cellStyle name="Normal 21 2 2 4 2" xfId="1639" xr:uid="{00000000-0005-0000-0000-000042050000}"/>
    <cellStyle name="Normal 21 2 2 5" xfId="1391" xr:uid="{00000000-0005-0000-0000-000043050000}"/>
    <cellStyle name="Normal 21 2 3" xfId="1001" xr:uid="{00000000-0005-0000-0000-000044050000}"/>
    <cellStyle name="Normal 21 2 3 2" xfId="2047" xr:uid="{00000000-0005-0000-0000-000045050000}"/>
    <cellStyle name="Normal 21 2 4" xfId="735" xr:uid="{00000000-0005-0000-0000-000046050000}"/>
    <cellStyle name="Normal 21 2 4 2" xfId="1781" xr:uid="{00000000-0005-0000-0000-000047050000}"/>
    <cellStyle name="Normal 21 2 5" xfId="464" xr:uid="{00000000-0005-0000-0000-000048050000}"/>
    <cellStyle name="Normal 21 2 5 2" xfId="1515" xr:uid="{00000000-0005-0000-0000-000049050000}"/>
    <cellStyle name="Normal 21 2 6" xfId="1267" xr:uid="{00000000-0005-0000-0000-00004A050000}"/>
    <cellStyle name="Normal 21 3" xfId="293" xr:uid="{00000000-0005-0000-0000-00004B050000}"/>
    <cellStyle name="Normal 21 3 2" xfId="1078" xr:uid="{00000000-0005-0000-0000-00004C050000}"/>
    <cellStyle name="Normal 21 3 2 2" xfId="2124" xr:uid="{00000000-0005-0000-0000-00004D050000}"/>
    <cellStyle name="Normal 21 3 3" xfId="812" xr:uid="{00000000-0005-0000-0000-00004E050000}"/>
    <cellStyle name="Normal 21 3 3 2" xfId="1858" xr:uid="{00000000-0005-0000-0000-00004F050000}"/>
    <cellStyle name="Normal 21 3 4" xfId="541" xr:uid="{00000000-0005-0000-0000-000050050000}"/>
    <cellStyle name="Normal 21 3 4 2" xfId="1592" xr:uid="{00000000-0005-0000-0000-000051050000}"/>
    <cellStyle name="Normal 21 3 5" xfId="1344" xr:uid="{00000000-0005-0000-0000-000052050000}"/>
    <cellStyle name="Normal 21 4" xfId="954" xr:uid="{00000000-0005-0000-0000-000053050000}"/>
    <cellStyle name="Normal 21 4 2" xfId="2000" xr:uid="{00000000-0005-0000-0000-000054050000}"/>
    <cellStyle name="Normal 21 5" xfId="688" xr:uid="{00000000-0005-0000-0000-000055050000}"/>
    <cellStyle name="Normal 21 5 2" xfId="1734" xr:uid="{00000000-0005-0000-0000-000056050000}"/>
    <cellStyle name="Normal 21 6" xfId="417" xr:uid="{00000000-0005-0000-0000-000057050000}"/>
    <cellStyle name="Normal 21 6 2" xfId="1468" xr:uid="{00000000-0005-0000-0000-000058050000}"/>
    <cellStyle name="Normal 21 7" xfId="1220" xr:uid="{00000000-0005-0000-0000-000059050000}"/>
    <cellStyle name="Normal 22" xfId="240" xr:uid="{00000000-0005-0000-0000-00005A050000}"/>
    <cellStyle name="Normal 22 2" xfId="366" xr:uid="{00000000-0005-0000-0000-00005B050000}"/>
    <cellStyle name="Normal 22 2 2" xfId="1151" xr:uid="{00000000-0005-0000-0000-00005C050000}"/>
    <cellStyle name="Normal 22 2 2 2" xfId="2197" xr:uid="{00000000-0005-0000-0000-00005D050000}"/>
    <cellStyle name="Normal 22 2 3" xfId="885" xr:uid="{00000000-0005-0000-0000-00005E050000}"/>
    <cellStyle name="Normal 22 2 3 2" xfId="1931" xr:uid="{00000000-0005-0000-0000-00005F050000}"/>
    <cellStyle name="Normal 22 2 4" xfId="614" xr:uid="{00000000-0005-0000-0000-000060050000}"/>
    <cellStyle name="Normal 22 2 4 2" xfId="1665" xr:uid="{00000000-0005-0000-0000-000061050000}"/>
    <cellStyle name="Normal 22 2 5" xfId="1417" xr:uid="{00000000-0005-0000-0000-000062050000}"/>
    <cellStyle name="Normal 22 3" xfId="1027" xr:uid="{00000000-0005-0000-0000-000063050000}"/>
    <cellStyle name="Normal 22 3 2" xfId="2073" xr:uid="{00000000-0005-0000-0000-000064050000}"/>
    <cellStyle name="Normal 22 4" xfId="761" xr:uid="{00000000-0005-0000-0000-000065050000}"/>
    <cellStyle name="Normal 22 4 2" xfId="1807" xr:uid="{00000000-0005-0000-0000-000066050000}"/>
    <cellStyle name="Normal 22 5" xfId="490" xr:uid="{00000000-0005-0000-0000-000067050000}"/>
    <cellStyle name="Normal 22 5 2" xfId="1541" xr:uid="{00000000-0005-0000-0000-000068050000}"/>
    <cellStyle name="Normal 22 6" xfId="1293" xr:uid="{00000000-0005-0000-0000-000069050000}"/>
    <cellStyle name="Normal 23" xfId="243" xr:uid="{00000000-0005-0000-0000-00006A050000}"/>
    <cellStyle name="Normal 23 2" xfId="368" xr:uid="{00000000-0005-0000-0000-00006B050000}"/>
    <cellStyle name="Normal 23 2 2" xfId="1153" xr:uid="{00000000-0005-0000-0000-00006C050000}"/>
    <cellStyle name="Normal 23 2 2 2" xfId="2199" xr:uid="{00000000-0005-0000-0000-00006D050000}"/>
    <cellStyle name="Normal 23 2 3" xfId="887" xr:uid="{00000000-0005-0000-0000-00006E050000}"/>
    <cellStyle name="Normal 23 2 3 2" xfId="1933" xr:uid="{00000000-0005-0000-0000-00006F050000}"/>
    <cellStyle name="Normal 23 2 4" xfId="616" xr:uid="{00000000-0005-0000-0000-000070050000}"/>
    <cellStyle name="Normal 23 2 4 2" xfId="1667" xr:uid="{00000000-0005-0000-0000-000071050000}"/>
    <cellStyle name="Normal 23 2 5" xfId="1419" xr:uid="{00000000-0005-0000-0000-000072050000}"/>
    <cellStyle name="Normal 23 3" xfId="1029" xr:uid="{00000000-0005-0000-0000-000073050000}"/>
    <cellStyle name="Normal 23 3 2" xfId="2075" xr:uid="{00000000-0005-0000-0000-000074050000}"/>
    <cellStyle name="Normal 23 4" xfId="763" xr:uid="{00000000-0005-0000-0000-000075050000}"/>
    <cellStyle name="Normal 23 4 2" xfId="1809" xr:uid="{00000000-0005-0000-0000-000076050000}"/>
    <cellStyle name="Normal 23 5" xfId="492" xr:uid="{00000000-0005-0000-0000-000077050000}"/>
    <cellStyle name="Normal 23 5 2" xfId="1543" xr:uid="{00000000-0005-0000-0000-000078050000}"/>
    <cellStyle name="Normal 23 6" xfId="1295" xr:uid="{00000000-0005-0000-0000-000079050000}"/>
    <cellStyle name="Normal 24" xfId="246" xr:uid="{00000000-0005-0000-0000-00007A050000}"/>
    <cellStyle name="Normal 24 2" xfId="370" xr:uid="{00000000-0005-0000-0000-00007B050000}"/>
    <cellStyle name="Normal 24 2 2" xfId="1155" xr:uid="{00000000-0005-0000-0000-00007C050000}"/>
    <cellStyle name="Normal 24 2 2 2" xfId="2201" xr:uid="{00000000-0005-0000-0000-00007D050000}"/>
    <cellStyle name="Normal 24 2 3" xfId="889" xr:uid="{00000000-0005-0000-0000-00007E050000}"/>
    <cellStyle name="Normal 24 2 3 2" xfId="1935" xr:uid="{00000000-0005-0000-0000-00007F050000}"/>
    <cellStyle name="Normal 24 2 4" xfId="618" xr:uid="{00000000-0005-0000-0000-000080050000}"/>
    <cellStyle name="Normal 24 2 4 2" xfId="1669" xr:uid="{00000000-0005-0000-0000-000081050000}"/>
    <cellStyle name="Normal 24 2 5" xfId="1421" xr:uid="{00000000-0005-0000-0000-000082050000}"/>
    <cellStyle name="Normal 24 3" xfId="1031" xr:uid="{00000000-0005-0000-0000-000083050000}"/>
    <cellStyle name="Normal 24 3 2" xfId="2077" xr:uid="{00000000-0005-0000-0000-000084050000}"/>
    <cellStyle name="Normal 24 4" xfId="765" xr:uid="{00000000-0005-0000-0000-000085050000}"/>
    <cellStyle name="Normal 24 4 2" xfId="1811" xr:uid="{00000000-0005-0000-0000-000086050000}"/>
    <cellStyle name="Normal 24 5" xfId="494" xr:uid="{00000000-0005-0000-0000-000087050000}"/>
    <cellStyle name="Normal 24 5 2" xfId="1545" xr:uid="{00000000-0005-0000-0000-000088050000}"/>
    <cellStyle name="Normal 24 6" xfId="1297" xr:uid="{00000000-0005-0000-0000-000089050000}"/>
    <cellStyle name="Normal 25" xfId="632" xr:uid="{00000000-0005-0000-0000-00008A050000}"/>
    <cellStyle name="Normal 25 2" xfId="1169" xr:uid="{00000000-0005-0000-0000-00008B050000}"/>
    <cellStyle name="Normal 25 2 2" xfId="2215" xr:uid="{00000000-0005-0000-0000-00008C050000}"/>
    <cellStyle name="Normal 25 3" xfId="903" xr:uid="{00000000-0005-0000-0000-00008D050000}"/>
    <cellStyle name="Normal 25 3 2" xfId="1949" xr:uid="{00000000-0005-0000-0000-00008E050000}"/>
    <cellStyle name="Normal 25 4" xfId="1683" xr:uid="{00000000-0005-0000-0000-00008F050000}"/>
    <cellStyle name="Normal 26" xfId="2233" xr:uid="{00000000-0005-0000-0000-000090050000}"/>
    <cellStyle name="Normal 26 2" xfId="2238" xr:uid="{00000000-0005-0000-0000-000091050000}"/>
    <cellStyle name="Normal 27" xfId="2236" xr:uid="{00000000-0005-0000-0000-000092050000}"/>
    <cellStyle name="Normal 3" xfId="7" xr:uid="{00000000-0005-0000-0000-000093050000}"/>
    <cellStyle name="Normal 3 2" xfId="8" xr:uid="{00000000-0005-0000-0000-000094050000}"/>
    <cellStyle name="Normal 3 2 2" xfId="98" xr:uid="{00000000-0005-0000-0000-000095050000}"/>
    <cellStyle name="Normal 3 2 2 2" xfId="173" xr:uid="{00000000-0005-0000-0000-000096050000}"/>
    <cellStyle name="Normal 3 2 2 2 2" xfId="327" xr:uid="{00000000-0005-0000-0000-000097050000}"/>
    <cellStyle name="Normal 3 2 2 2 2 2" xfId="1112" xr:uid="{00000000-0005-0000-0000-000098050000}"/>
    <cellStyle name="Normal 3 2 2 2 2 2 2" xfId="2158" xr:uid="{00000000-0005-0000-0000-000099050000}"/>
    <cellStyle name="Normal 3 2 2 2 2 3" xfId="846" xr:uid="{00000000-0005-0000-0000-00009A050000}"/>
    <cellStyle name="Normal 3 2 2 2 2 3 2" xfId="1892" xr:uid="{00000000-0005-0000-0000-00009B050000}"/>
    <cellStyle name="Normal 3 2 2 2 2 4" xfId="575" xr:uid="{00000000-0005-0000-0000-00009C050000}"/>
    <cellStyle name="Normal 3 2 2 2 2 4 2" xfId="1626" xr:uid="{00000000-0005-0000-0000-00009D050000}"/>
    <cellStyle name="Normal 3 2 2 2 2 5" xfId="1378" xr:uid="{00000000-0005-0000-0000-00009E050000}"/>
    <cellStyle name="Normal 3 2 2 2 3" xfId="988" xr:uid="{00000000-0005-0000-0000-00009F050000}"/>
    <cellStyle name="Normal 3 2 2 2 3 2" xfId="2034" xr:uid="{00000000-0005-0000-0000-0000A0050000}"/>
    <cellStyle name="Normal 3 2 2 2 4" xfId="722" xr:uid="{00000000-0005-0000-0000-0000A1050000}"/>
    <cellStyle name="Normal 3 2 2 2 4 2" xfId="1768" xr:uid="{00000000-0005-0000-0000-0000A2050000}"/>
    <cellStyle name="Normal 3 2 2 2 5" xfId="451" xr:uid="{00000000-0005-0000-0000-0000A3050000}"/>
    <cellStyle name="Normal 3 2 2 2 5 2" xfId="1502" xr:uid="{00000000-0005-0000-0000-0000A4050000}"/>
    <cellStyle name="Normal 3 2 2 2 6" xfId="1254" xr:uid="{00000000-0005-0000-0000-0000A5050000}"/>
    <cellStyle name="Normal 3 2 2 3" xfId="280" xr:uid="{00000000-0005-0000-0000-0000A6050000}"/>
    <cellStyle name="Normal 3 2 2 3 2" xfId="1065" xr:uid="{00000000-0005-0000-0000-0000A7050000}"/>
    <cellStyle name="Normal 3 2 2 3 2 2" xfId="2111" xr:uid="{00000000-0005-0000-0000-0000A8050000}"/>
    <cellStyle name="Normal 3 2 2 3 3" xfId="799" xr:uid="{00000000-0005-0000-0000-0000A9050000}"/>
    <cellStyle name="Normal 3 2 2 3 3 2" xfId="1845" xr:uid="{00000000-0005-0000-0000-0000AA050000}"/>
    <cellStyle name="Normal 3 2 2 3 4" xfId="528" xr:uid="{00000000-0005-0000-0000-0000AB050000}"/>
    <cellStyle name="Normal 3 2 2 3 4 2" xfId="1579" xr:uid="{00000000-0005-0000-0000-0000AC050000}"/>
    <cellStyle name="Normal 3 2 2 3 5" xfId="1331" xr:uid="{00000000-0005-0000-0000-0000AD050000}"/>
    <cellStyle name="Normal 3 2 2 4" xfId="941" xr:uid="{00000000-0005-0000-0000-0000AE050000}"/>
    <cellStyle name="Normal 3 2 2 4 2" xfId="1987" xr:uid="{00000000-0005-0000-0000-0000AF050000}"/>
    <cellStyle name="Normal 3 2 2 5" xfId="675" xr:uid="{00000000-0005-0000-0000-0000B0050000}"/>
    <cellStyle name="Normal 3 2 2 5 2" xfId="1721" xr:uid="{00000000-0005-0000-0000-0000B1050000}"/>
    <cellStyle name="Normal 3 2 2 6" xfId="404" xr:uid="{00000000-0005-0000-0000-0000B2050000}"/>
    <cellStyle name="Normal 3 2 2 6 2" xfId="1455" xr:uid="{00000000-0005-0000-0000-0000B3050000}"/>
    <cellStyle name="Normal 3 2 2 7" xfId="1207" xr:uid="{00000000-0005-0000-0000-0000B4050000}"/>
    <cellStyle name="Normal 3 2 3" xfId="99" xr:uid="{00000000-0005-0000-0000-0000B5050000}"/>
    <cellStyle name="Normal 3 2 3 2" xfId="174" xr:uid="{00000000-0005-0000-0000-0000B6050000}"/>
    <cellStyle name="Normal 3 2 3 2 2" xfId="328" xr:uid="{00000000-0005-0000-0000-0000B7050000}"/>
    <cellStyle name="Normal 3 2 3 2 2 2" xfId="1113" xr:uid="{00000000-0005-0000-0000-0000B8050000}"/>
    <cellStyle name="Normal 3 2 3 2 2 2 2" xfId="2159" xr:uid="{00000000-0005-0000-0000-0000B9050000}"/>
    <cellStyle name="Normal 3 2 3 2 2 3" xfId="847" xr:uid="{00000000-0005-0000-0000-0000BA050000}"/>
    <cellStyle name="Normal 3 2 3 2 2 3 2" xfId="1893" xr:uid="{00000000-0005-0000-0000-0000BB050000}"/>
    <cellStyle name="Normal 3 2 3 2 2 4" xfId="576" xr:uid="{00000000-0005-0000-0000-0000BC050000}"/>
    <cellStyle name="Normal 3 2 3 2 2 4 2" xfId="1627" xr:uid="{00000000-0005-0000-0000-0000BD050000}"/>
    <cellStyle name="Normal 3 2 3 2 2 5" xfId="1379" xr:uid="{00000000-0005-0000-0000-0000BE050000}"/>
    <cellStyle name="Normal 3 2 3 2 3" xfId="989" xr:uid="{00000000-0005-0000-0000-0000BF050000}"/>
    <cellStyle name="Normal 3 2 3 2 3 2" xfId="2035" xr:uid="{00000000-0005-0000-0000-0000C0050000}"/>
    <cellStyle name="Normal 3 2 3 2 4" xfId="723" xr:uid="{00000000-0005-0000-0000-0000C1050000}"/>
    <cellStyle name="Normal 3 2 3 2 4 2" xfId="1769" xr:uid="{00000000-0005-0000-0000-0000C2050000}"/>
    <cellStyle name="Normal 3 2 3 2 5" xfId="452" xr:uid="{00000000-0005-0000-0000-0000C3050000}"/>
    <cellStyle name="Normal 3 2 3 2 5 2" xfId="1503" xr:uid="{00000000-0005-0000-0000-0000C4050000}"/>
    <cellStyle name="Normal 3 2 3 2 6" xfId="1255" xr:uid="{00000000-0005-0000-0000-0000C5050000}"/>
    <cellStyle name="Normal 3 2 3 3" xfId="281" xr:uid="{00000000-0005-0000-0000-0000C6050000}"/>
    <cellStyle name="Normal 3 2 3 3 2" xfId="1066" xr:uid="{00000000-0005-0000-0000-0000C7050000}"/>
    <cellStyle name="Normal 3 2 3 3 2 2" xfId="2112" xr:uid="{00000000-0005-0000-0000-0000C8050000}"/>
    <cellStyle name="Normal 3 2 3 3 3" xfId="800" xr:uid="{00000000-0005-0000-0000-0000C9050000}"/>
    <cellStyle name="Normal 3 2 3 3 3 2" xfId="1846" xr:uid="{00000000-0005-0000-0000-0000CA050000}"/>
    <cellStyle name="Normal 3 2 3 3 4" xfId="529" xr:uid="{00000000-0005-0000-0000-0000CB050000}"/>
    <cellStyle name="Normal 3 2 3 3 4 2" xfId="1580" xr:uid="{00000000-0005-0000-0000-0000CC050000}"/>
    <cellStyle name="Normal 3 2 3 3 5" xfId="1332" xr:uid="{00000000-0005-0000-0000-0000CD050000}"/>
    <cellStyle name="Normal 3 2 3 4" xfId="942" xr:uid="{00000000-0005-0000-0000-0000CE050000}"/>
    <cellStyle name="Normal 3 2 3 4 2" xfId="1988" xr:uid="{00000000-0005-0000-0000-0000CF050000}"/>
    <cellStyle name="Normal 3 2 3 5" xfId="676" xr:uid="{00000000-0005-0000-0000-0000D0050000}"/>
    <cellStyle name="Normal 3 2 3 5 2" xfId="1722" xr:uid="{00000000-0005-0000-0000-0000D1050000}"/>
    <cellStyle name="Normal 3 2 3 6" xfId="405" xr:uid="{00000000-0005-0000-0000-0000D2050000}"/>
    <cellStyle name="Normal 3 2 3 6 2" xfId="1456" xr:uid="{00000000-0005-0000-0000-0000D3050000}"/>
    <cellStyle name="Normal 3 2 3 7" xfId="1208" xr:uid="{00000000-0005-0000-0000-0000D4050000}"/>
    <cellStyle name="Normal 3 2 4" xfId="142" xr:uid="{00000000-0005-0000-0000-0000D5050000}"/>
    <cellStyle name="Normal 3 2 4 2" xfId="195" xr:uid="{00000000-0005-0000-0000-0000D6050000}"/>
    <cellStyle name="Normal 3 2 4 2 2" xfId="349" xr:uid="{00000000-0005-0000-0000-0000D7050000}"/>
    <cellStyle name="Normal 3 2 4 2 2 2" xfId="1134" xr:uid="{00000000-0005-0000-0000-0000D8050000}"/>
    <cellStyle name="Normal 3 2 4 2 2 2 2" xfId="2180" xr:uid="{00000000-0005-0000-0000-0000D9050000}"/>
    <cellStyle name="Normal 3 2 4 2 2 3" xfId="868" xr:uid="{00000000-0005-0000-0000-0000DA050000}"/>
    <cellStyle name="Normal 3 2 4 2 2 3 2" xfId="1914" xr:uid="{00000000-0005-0000-0000-0000DB050000}"/>
    <cellStyle name="Normal 3 2 4 2 2 4" xfId="597" xr:uid="{00000000-0005-0000-0000-0000DC050000}"/>
    <cellStyle name="Normal 3 2 4 2 2 4 2" xfId="1648" xr:uid="{00000000-0005-0000-0000-0000DD050000}"/>
    <cellStyle name="Normal 3 2 4 2 2 5" xfId="1400" xr:uid="{00000000-0005-0000-0000-0000DE050000}"/>
    <cellStyle name="Normal 3 2 4 2 3" xfId="1010" xr:uid="{00000000-0005-0000-0000-0000DF050000}"/>
    <cellStyle name="Normal 3 2 4 2 3 2" xfId="2056" xr:uid="{00000000-0005-0000-0000-0000E0050000}"/>
    <cellStyle name="Normal 3 2 4 2 4" xfId="744" xr:uid="{00000000-0005-0000-0000-0000E1050000}"/>
    <cellStyle name="Normal 3 2 4 2 4 2" xfId="1790" xr:uid="{00000000-0005-0000-0000-0000E2050000}"/>
    <cellStyle name="Normal 3 2 4 2 5" xfId="473" xr:uid="{00000000-0005-0000-0000-0000E3050000}"/>
    <cellStyle name="Normal 3 2 4 2 5 2" xfId="1524" xr:uid="{00000000-0005-0000-0000-0000E4050000}"/>
    <cellStyle name="Normal 3 2 4 2 6" xfId="1276" xr:uid="{00000000-0005-0000-0000-0000E5050000}"/>
    <cellStyle name="Normal 3 2 4 3" xfId="302" xr:uid="{00000000-0005-0000-0000-0000E6050000}"/>
    <cellStyle name="Normal 3 2 4 3 2" xfId="1087" xr:uid="{00000000-0005-0000-0000-0000E7050000}"/>
    <cellStyle name="Normal 3 2 4 3 2 2" xfId="2133" xr:uid="{00000000-0005-0000-0000-0000E8050000}"/>
    <cellStyle name="Normal 3 2 4 3 3" xfId="821" xr:uid="{00000000-0005-0000-0000-0000E9050000}"/>
    <cellStyle name="Normal 3 2 4 3 3 2" xfId="1867" xr:uid="{00000000-0005-0000-0000-0000EA050000}"/>
    <cellStyle name="Normal 3 2 4 3 4" xfId="550" xr:uid="{00000000-0005-0000-0000-0000EB050000}"/>
    <cellStyle name="Normal 3 2 4 3 4 2" xfId="1601" xr:uid="{00000000-0005-0000-0000-0000EC050000}"/>
    <cellStyle name="Normal 3 2 4 3 5" xfId="1353" xr:uid="{00000000-0005-0000-0000-0000ED050000}"/>
    <cellStyle name="Normal 3 2 4 4" xfId="963" xr:uid="{00000000-0005-0000-0000-0000EE050000}"/>
    <cellStyle name="Normal 3 2 4 4 2" xfId="2009" xr:uid="{00000000-0005-0000-0000-0000EF050000}"/>
    <cellStyle name="Normal 3 2 4 5" xfId="697" xr:uid="{00000000-0005-0000-0000-0000F0050000}"/>
    <cellStyle name="Normal 3 2 4 5 2" xfId="1743" xr:uid="{00000000-0005-0000-0000-0000F1050000}"/>
    <cellStyle name="Normal 3 2 4 6" xfId="426" xr:uid="{00000000-0005-0000-0000-0000F2050000}"/>
    <cellStyle name="Normal 3 2 4 6 2" xfId="1477" xr:uid="{00000000-0005-0000-0000-0000F3050000}"/>
    <cellStyle name="Normal 3 2 4 7" xfId="1229" xr:uid="{00000000-0005-0000-0000-0000F4050000}"/>
    <cellStyle name="Normal 3 3" xfId="9" xr:uid="{00000000-0005-0000-0000-0000F5050000}"/>
    <cellStyle name="Normal 3 3 2" xfId="143" xr:uid="{00000000-0005-0000-0000-0000F6050000}"/>
    <cellStyle name="Normal 3 4" xfId="10" xr:uid="{00000000-0005-0000-0000-0000F7050000}"/>
    <cellStyle name="Normal 3 4 2" xfId="151" xr:uid="{00000000-0005-0000-0000-0000F8050000}"/>
    <cellStyle name="Normal 3 5" xfId="100" xr:uid="{00000000-0005-0000-0000-0000F9050000}"/>
    <cellStyle name="Normal 3 5 2" xfId="175" xr:uid="{00000000-0005-0000-0000-0000FA050000}"/>
    <cellStyle name="Normal 3 5 2 2" xfId="329" xr:uid="{00000000-0005-0000-0000-0000FB050000}"/>
    <cellStyle name="Normal 3 5 2 2 2" xfId="1114" xr:uid="{00000000-0005-0000-0000-0000FC050000}"/>
    <cellStyle name="Normal 3 5 2 2 2 2" xfId="2160" xr:uid="{00000000-0005-0000-0000-0000FD050000}"/>
    <cellStyle name="Normal 3 5 2 2 3" xfId="848" xr:uid="{00000000-0005-0000-0000-0000FE050000}"/>
    <cellStyle name="Normal 3 5 2 2 3 2" xfId="1894" xr:uid="{00000000-0005-0000-0000-0000FF050000}"/>
    <cellStyle name="Normal 3 5 2 2 4" xfId="577" xr:uid="{00000000-0005-0000-0000-000000060000}"/>
    <cellStyle name="Normal 3 5 2 2 4 2" xfId="1628" xr:uid="{00000000-0005-0000-0000-000001060000}"/>
    <cellStyle name="Normal 3 5 2 2 5" xfId="1380" xr:uid="{00000000-0005-0000-0000-000002060000}"/>
    <cellStyle name="Normal 3 5 2 3" xfId="990" xr:uid="{00000000-0005-0000-0000-000003060000}"/>
    <cellStyle name="Normal 3 5 2 3 2" xfId="2036" xr:uid="{00000000-0005-0000-0000-000004060000}"/>
    <cellStyle name="Normal 3 5 2 4" xfId="724" xr:uid="{00000000-0005-0000-0000-000005060000}"/>
    <cellStyle name="Normal 3 5 2 4 2" xfId="1770" xr:uid="{00000000-0005-0000-0000-000006060000}"/>
    <cellStyle name="Normal 3 5 2 5" xfId="453" xr:uid="{00000000-0005-0000-0000-000007060000}"/>
    <cellStyle name="Normal 3 5 2 5 2" xfId="1504" xr:uid="{00000000-0005-0000-0000-000008060000}"/>
    <cellStyle name="Normal 3 5 2 6" xfId="1256" xr:uid="{00000000-0005-0000-0000-000009060000}"/>
    <cellStyle name="Normal 3 5 3" xfId="282" xr:uid="{00000000-0005-0000-0000-00000A060000}"/>
    <cellStyle name="Normal 3 5 3 2" xfId="1067" xr:uid="{00000000-0005-0000-0000-00000B060000}"/>
    <cellStyle name="Normal 3 5 3 2 2" xfId="2113" xr:uid="{00000000-0005-0000-0000-00000C060000}"/>
    <cellStyle name="Normal 3 5 3 3" xfId="801" xr:uid="{00000000-0005-0000-0000-00000D060000}"/>
    <cellStyle name="Normal 3 5 3 3 2" xfId="1847" xr:uid="{00000000-0005-0000-0000-00000E060000}"/>
    <cellStyle name="Normal 3 5 3 4" xfId="530" xr:uid="{00000000-0005-0000-0000-00000F060000}"/>
    <cellStyle name="Normal 3 5 3 4 2" xfId="1581" xr:uid="{00000000-0005-0000-0000-000010060000}"/>
    <cellStyle name="Normal 3 5 3 5" xfId="1333" xr:uid="{00000000-0005-0000-0000-000011060000}"/>
    <cellStyle name="Normal 3 5 4" xfId="943" xr:uid="{00000000-0005-0000-0000-000012060000}"/>
    <cellStyle name="Normal 3 5 4 2" xfId="1989" xr:uid="{00000000-0005-0000-0000-000013060000}"/>
    <cellStyle name="Normal 3 5 5" xfId="677" xr:uid="{00000000-0005-0000-0000-000014060000}"/>
    <cellStyle name="Normal 3 5 5 2" xfId="1723" xr:uid="{00000000-0005-0000-0000-000015060000}"/>
    <cellStyle name="Normal 3 5 6" xfId="406" xr:uid="{00000000-0005-0000-0000-000016060000}"/>
    <cellStyle name="Normal 3 5 6 2" xfId="1457" xr:uid="{00000000-0005-0000-0000-000017060000}"/>
    <cellStyle name="Normal 3 5 7" xfId="1209" xr:uid="{00000000-0005-0000-0000-000018060000}"/>
    <cellStyle name="Normal 3 6" xfId="141" xr:uid="{00000000-0005-0000-0000-000019060000}"/>
    <cellStyle name="Normal 3 6 2" xfId="194" xr:uid="{00000000-0005-0000-0000-00001A060000}"/>
    <cellStyle name="Normal 3 6 2 2" xfId="348" xr:uid="{00000000-0005-0000-0000-00001B060000}"/>
    <cellStyle name="Normal 3 6 2 2 2" xfId="1133" xr:uid="{00000000-0005-0000-0000-00001C060000}"/>
    <cellStyle name="Normal 3 6 2 2 2 2" xfId="2179" xr:uid="{00000000-0005-0000-0000-00001D060000}"/>
    <cellStyle name="Normal 3 6 2 2 3" xfId="867" xr:uid="{00000000-0005-0000-0000-00001E060000}"/>
    <cellStyle name="Normal 3 6 2 2 3 2" xfId="1913" xr:uid="{00000000-0005-0000-0000-00001F060000}"/>
    <cellStyle name="Normal 3 6 2 2 4" xfId="596" xr:uid="{00000000-0005-0000-0000-000020060000}"/>
    <cellStyle name="Normal 3 6 2 2 4 2" xfId="1647" xr:uid="{00000000-0005-0000-0000-000021060000}"/>
    <cellStyle name="Normal 3 6 2 2 5" xfId="1399" xr:uid="{00000000-0005-0000-0000-000022060000}"/>
    <cellStyle name="Normal 3 6 2 3" xfId="1009" xr:uid="{00000000-0005-0000-0000-000023060000}"/>
    <cellStyle name="Normal 3 6 2 3 2" xfId="2055" xr:uid="{00000000-0005-0000-0000-000024060000}"/>
    <cellStyle name="Normal 3 6 2 4" xfId="743" xr:uid="{00000000-0005-0000-0000-000025060000}"/>
    <cellStyle name="Normal 3 6 2 4 2" xfId="1789" xr:uid="{00000000-0005-0000-0000-000026060000}"/>
    <cellStyle name="Normal 3 6 2 5" xfId="472" xr:uid="{00000000-0005-0000-0000-000027060000}"/>
    <cellStyle name="Normal 3 6 2 5 2" xfId="1523" xr:uid="{00000000-0005-0000-0000-000028060000}"/>
    <cellStyle name="Normal 3 6 2 6" xfId="1275" xr:uid="{00000000-0005-0000-0000-000029060000}"/>
    <cellStyle name="Normal 3 6 3" xfId="301" xr:uid="{00000000-0005-0000-0000-00002A060000}"/>
    <cellStyle name="Normal 3 6 3 2" xfId="1086" xr:uid="{00000000-0005-0000-0000-00002B060000}"/>
    <cellStyle name="Normal 3 6 3 2 2" xfId="2132" xr:uid="{00000000-0005-0000-0000-00002C060000}"/>
    <cellStyle name="Normal 3 6 3 3" xfId="820" xr:uid="{00000000-0005-0000-0000-00002D060000}"/>
    <cellStyle name="Normal 3 6 3 3 2" xfId="1866" xr:uid="{00000000-0005-0000-0000-00002E060000}"/>
    <cellStyle name="Normal 3 6 3 4" xfId="549" xr:uid="{00000000-0005-0000-0000-00002F060000}"/>
    <cellStyle name="Normal 3 6 3 4 2" xfId="1600" xr:uid="{00000000-0005-0000-0000-000030060000}"/>
    <cellStyle name="Normal 3 6 3 5" xfId="1352" xr:uid="{00000000-0005-0000-0000-000031060000}"/>
    <cellStyle name="Normal 3 6 4" xfId="962" xr:uid="{00000000-0005-0000-0000-000032060000}"/>
    <cellStyle name="Normal 3 6 4 2" xfId="2008" xr:uid="{00000000-0005-0000-0000-000033060000}"/>
    <cellStyle name="Normal 3 6 5" xfId="696" xr:uid="{00000000-0005-0000-0000-000034060000}"/>
    <cellStyle name="Normal 3 6 5 2" xfId="1742" xr:uid="{00000000-0005-0000-0000-000035060000}"/>
    <cellStyle name="Normal 3 6 6" xfId="425" xr:uid="{00000000-0005-0000-0000-000036060000}"/>
    <cellStyle name="Normal 3 6 6 2" xfId="1476" xr:uid="{00000000-0005-0000-0000-000037060000}"/>
    <cellStyle name="Normal 3 6 7" xfId="1228" xr:uid="{00000000-0005-0000-0000-000038060000}"/>
    <cellStyle name="Normal 3 7" xfId="650" xr:uid="{00000000-0005-0000-0000-000039060000}"/>
    <cellStyle name="Normal 3 7 2" xfId="1184" xr:uid="{00000000-0005-0000-0000-00003A060000}"/>
    <cellStyle name="Normal 3 7 2 2" xfId="2230" xr:uid="{00000000-0005-0000-0000-00003B060000}"/>
    <cellStyle name="Normal 3 7 3" xfId="918" xr:uid="{00000000-0005-0000-0000-00003C060000}"/>
    <cellStyle name="Normal 3 7 3 2" xfId="1964" xr:uid="{00000000-0005-0000-0000-00003D060000}"/>
    <cellStyle name="Normal 3 7 4" xfId="1698" xr:uid="{00000000-0005-0000-0000-00003E060000}"/>
    <cellStyle name="Normal 3 8" xfId="2235" xr:uid="{00000000-0005-0000-0000-00003F060000}"/>
    <cellStyle name="Normal 4" xfId="11" xr:uid="{00000000-0005-0000-0000-000040060000}"/>
    <cellStyle name="Normal 4 2" xfId="101" xr:uid="{00000000-0005-0000-0000-000041060000}"/>
    <cellStyle name="Normal 4 2 10" xfId="1210" xr:uid="{00000000-0005-0000-0000-000042060000}"/>
    <cellStyle name="Normal 4 2 2" xfId="102" xr:uid="{00000000-0005-0000-0000-000043060000}"/>
    <cellStyle name="Normal 4 2 3" xfId="103" xr:uid="{00000000-0005-0000-0000-000044060000}"/>
    <cellStyle name="Normal 4 2 4" xfId="104" xr:uid="{00000000-0005-0000-0000-000045060000}"/>
    <cellStyle name="Normal 4 2 4 2" xfId="177" xr:uid="{00000000-0005-0000-0000-000046060000}"/>
    <cellStyle name="Normal 4 2 4 2 2" xfId="331" xr:uid="{00000000-0005-0000-0000-000047060000}"/>
    <cellStyle name="Normal 4 2 4 2 2 2" xfId="1116" xr:uid="{00000000-0005-0000-0000-000048060000}"/>
    <cellStyle name="Normal 4 2 4 2 2 2 2" xfId="2162" xr:uid="{00000000-0005-0000-0000-000049060000}"/>
    <cellStyle name="Normal 4 2 4 2 2 3" xfId="850" xr:uid="{00000000-0005-0000-0000-00004A060000}"/>
    <cellStyle name="Normal 4 2 4 2 2 3 2" xfId="1896" xr:uid="{00000000-0005-0000-0000-00004B060000}"/>
    <cellStyle name="Normal 4 2 4 2 2 4" xfId="579" xr:uid="{00000000-0005-0000-0000-00004C060000}"/>
    <cellStyle name="Normal 4 2 4 2 2 4 2" xfId="1630" xr:uid="{00000000-0005-0000-0000-00004D060000}"/>
    <cellStyle name="Normal 4 2 4 2 2 5" xfId="1382" xr:uid="{00000000-0005-0000-0000-00004E060000}"/>
    <cellStyle name="Normal 4 2 4 2 3" xfId="992" xr:uid="{00000000-0005-0000-0000-00004F060000}"/>
    <cellStyle name="Normal 4 2 4 2 3 2" xfId="2038" xr:uid="{00000000-0005-0000-0000-000050060000}"/>
    <cellStyle name="Normal 4 2 4 2 4" xfId="726" xr:uid="{00000000-0005-0000-0000-000051060000}"/>
    <cellStyle name="Normal 4 2 4 2 4 2" xfId="1772" xr:uid="{00000000-0005-0000-0000-000052060000}"/>
    <cellStyle name="Normal 4 2 4 2 5" xfId="455" xr:uid="{00000000-0005-0000-0000-000053060000}"/>
    <cellStyle name="Normal 4 2 4 2 5 2" xfId="1506" xr:uid="{00000000-0005-0000-0000-000054060000}"/>
    <cellStyle name="Normal 4 2 4 2 6" xfId="1258" xr:uid="{00000000-0005-0000-0000-000055060000}"/>
    <cellStyle name="Normal 4 2 4 3" xfId="284" xr:uid="{00000000-0005-0000-0000-000056060000}"/>
    <cellStyle name="Normal 4 2 4 3 2" xfId="1069" xr:uid="{00000000-0005-0000-0000-000057060000}"/>
    <cellStyle name="Normal 4 2 4 3 2 2" xfId="2115" xr:uid="{00000000-0005-0000-0000-000058060000}"/>
    <cellStyle name="Normal 4 2 4 3 3" xfId="803" xr:uid="{00000000-0005-0000-0000-000059060000}"/>
    <cellStyle name="Normal 4 2 4 3 3 2" xfId="1849" xr:uid="{00000000-0005-0000-0000-00005A060000}"/>
    <cellStyle name="Normal 4 2 4 3 4" xfId="532" xr:uid="{00000000-0005-0000-0000-00005B060000}"/>
    <cellStyle name="Normal 4 2 4 3 4 2" xfId="1583" xr:uid="{00000000-0005-0000-0000-00005C060000}"/>
    <cellStyle name="Normal 4 2 4 3 5" xfId="1335" xr:uid="{00000000-0005-0000-0000-00005D060000}"/>
    <cellStyle name="Normal 4 2 4 4" xfId="945" xr:uid="{00000000-0005-0000-0000-00005E060000}"/>
    <cellStyle name="Normal 4 2 4 4 2" xfId="1991" xr:uid="{00000000-0005-0000-0000-00005F060000}"/>
    <cellStyle name="Normal 4 2 4 5" xfId="679" xr:uid="{00000000-0005-0000-0000-000060060000}"/>
    <cellStyle name="Normal 4 2 4 5 2" xfId="1725" xr:uid="{00000000-0005-0000-0000-000061060000}"/>
    <cellStyle name="Normal 4 2 4 6" xfId="408" xr:uid="{00000000-0005-0000-0000-000062060000}"/>
    <cellStyle name="Normal 4 2 4 6 2" xfId="1459" xr:uid="{00000000-0005-0000-0000-000063060000}"/>
    <cellStyle name="Normal 4 2 4 7" xfId="1211" xr:uid="{00000000-0005-0000-0000-000064060000}"/>
    <cellStyle name="Normal 4 2 5" xfId="176" xr:uid="{00000000-0005-0000-0000-000065060000}"/>
    <cellStyle name="Normal 4 2 5 2" xfId="330" xr:uid="{00000000-0005-0000-0000-000066060000}"/>
    <cellStyle name="Normal 4 2 5 2 2" xfId="1115" xr:uid="{00000000-0005-0000-0000-000067060000}"/>
    <cellStyle name="Normal 4 2 5 2 2 2" xfId="2161" xr:uid="{00000000-0005-0000-0000-000068060000}"/>
    <cellStyle name="Normal 4 2 5 2 3" xfId="849" xr:uid="{00000000-0005-0000-0000-000069060000}"/>
    <cellStyle name="Normal 4 2 5 2 3 2" xfId="1895" xr:uid="{00000000-0005-0000-0000-00006A060000}"/>
    <cellStyle name="Normal 4 2 5 2 4" xfId="578" xr:uid="{00000000-0005-0000-0000-00006B060000}"/>
    <cellStyle name="Normal 4 2 5 2 4 2" xfId="1629" xr:uid="{00000000-0005-0000-0000-00006C060000}"/>
    <cellStyle name="Normal 4 2 5 2 5" xfId="1381" xr:uid="{00000000-0005-0000-0000-00006D060000}"/>
    <cellStyle name="Normal 4 2 5 3" xfId="991" xr:uid="{00000000-0005-0000-0000-00006E060000}"/>
    <cellStyle name="Normal 4 2 5 3 2" xfId="2037" xr:uid="{00000000-0005-0000-0000-00006F060000}"/>
    <cellStyle name="Normal 4 2 5 4" xfId="725" xr:uid="{00000000-0005-0000-0000-000070060000}"/>
    <cellStyle name="Normal 4 2 5 4 2" xfId="1771" xr:uid="{00000000-0005-0000-0000-000071060000}"/>
    <cellStyle name="Normal 4 2 5 5" xfId="454" xr:uid="{00000000-0005-0000-0000-000072060000}"/>
    <cellStyle name="Normal 4 2 5 5 2" xfId="1505" xr:uid="{00000000-0005-0000-0000-000073060000}"/>
    <cellStyle name="Normal 4 2 5 6" xfId="1257" xr:uid="{00000000-0005-0000-0000-000074060000}"/>
    <cellStyle name="Normal 4 2 6" xfId="283" xr:uid="{00000000-0005-0000-0000-000075060000}"/>
    <cellStyle name="Normal 4 2 6 2" xfId="1068" xr:uid="{00000000-0005-0000-0000-000076060000}"/>
    <cellStyle name="Normal 4 2 6 2 2" xfId="2114" xr:uid="{00000000-0005-0000-0000-000077060000}"/>
    <cellStyle name="Normal 4 2 6 3" xfId="802" xr:uid="{00000000-0005-0000-0000-000078060000}"/>
    <cellStyle name="Normal 4 2 6 3 2" xfId="1848" xr:uid="{00000000-0005-0000-0000-000079060000}"/>
    <cellStyle name="Normal 4 2 6 4" xfId="531" xr:uid="{00000000-0005-0000-0000-00007A060000}"/>
    <cellStyle name="Normal 4 2 6 4 2" xfId="1582" xr:uid="{00000000-0005-0000-0000-00007B060000}"/>
    <cellStyle name="Normal 4 2 6 5" xfId="1334" xr:uid="{00000000-0005-0000-0000-00007C060000}"/>
    <cellStyle name="Normal 4 2 7" xfId="944" xr:uid="{00000000-0005-0000-0000-00007D060000}"/>
    <cellStyle name="Normal 4 2 7 2" xfId="1990" xr:uid="{00000000-0005-0000-0000-00007E060000}"/>
    <cellStyle name="Normal 4 2 8" xfId="678" xr:uid="{00000000-0005-0000-0000-00007F060000}"/>
    <cellStyle name="Normal 4 2 8 2" xfId="1724" xr:uid="{00000000-0005-0000-0000-000080060000}"/>
    <cellStyle name="Normal 4 2 9" xfId="407" xr:uid="{00000000-0005-0000-0000-000081060000}"/>
    <cellStyle name="Normal 4 2 9 2" xfId="1458" xr:uid="{00000000-0005-0000-0000-000082060000}"/>
    <cellStyle name="Normal 4 3" xfId="105" xr:uid="{00000000-0005-0000-0000-000083060000}"/>
    <cellStyle name="Normal 4 3 2" xfId="106" xr:uid="{00000000-0005-0000-0000-000084060000}"/>
    <cellStyle name="Normal 4 4" xfId="107" xr:uid="{00000000-0005-0000-0000-000085060000}"/>
    <cellStyle name="Normal 4 5" xfId="108" xr:uid="{00000000-0005-0000-0000-000086060000}"/>
    <cellStyle name="Normal 4 6" xfId="654" xr:uid="{00000000-0005-0000-0000-000087060000}"/>
    <cellStyle name="Normal 5" xfId="12" xr:uid="{00000000-0005-0000-0000-000088060000}"/>
    <cellStyle name="Normal 5 10" xfId="385" xr:uid="{00000000-0005-0000-0000-000089060000}"/>
    <cellStyle name="Normal 5 10 2" xfId="1436" xr:uid="{00000000-0005-0000-0000-00008A060000}"/>
    <cellStyle name="Normal 5 11" xfId="1188" xr:uid="{00000000-0005-0000-0000-00008B060000}"/>
    <cellStyle name="Normal 5 2" xfId="13" xr:uid="{00000000-0005-0000-0000-00008C060000}"/>
    <cellStyle name="Normal 5 2 2" xfId="145" xr:uid="{00000000-0005-0000-0000-00008D060000}"/>
    <cellStyle name="Normal 5 2 2 2" xfId="197" xr:uid="{00000000-0005-0000-0000-00008E060000}"/>
    <cellStyle name="Normal 5 2 2 2 2" xfId="351" xr:uid="{00000000-0005-0000-0000-00008F060000}"/>
    <cellStyle name="Normal 5 2 2 2 2 2" xfId="1136" xr:uid="{00000000-0005-0000-0000-000090060000}"/>
    <cellStyle name="Normal 5 2 2 2 2 2 2" xfId="2182" xr:uid="{00000000-0005-0000-0000-000091060000}"/>
    <cellStyle name="Normal 5 2 2 2 2 3" xfId="870" xr:uid="{00000000-0005-0000-0000-000092060000}"/>
    <cellStyle name="Normal 5 2 2 2 2 3 2" xfId="1916" xr:uid="{00000000-0005-0000-0000-000093060000}"/>
    <cellStyle name="Normal 5 2 2 2 2 4" xfId="599" xr:uid="{00000000-0005-0000-0000-000094060000}"/>
    <cellStyle name="Normal 5 2 2 2 2 4 2" xfId="1650" xr:uid="{00000000-0005-0000-0000-000095060000}"/>
    <cellStyle name="Normal 5 2 2 2 2 5" xfId="1402" xr:uid="{00000000-0005-0000-0000-000096060000}"/>
    <cellStyle name="Normal 5 2 2 2 3" xfId="1012" xr:uid="{00000000-0005-0000-0000-000097060000}"/>
    <cellStyle name="Normal 5 2 2 2 3 2" xfId="2058" xr:uid="{00000000-0005-0000-0000-000098060000}"/>
    <cellStyle name="Normal 5 2 2 2 4" xfId="746" xr:uid="{00000000-0005-0000-0000-000099060000}"/>
    <cellStyle name="Normal 5 2 2 2 4 2" xfId="1792" xr:uid="{00000000-0005-0000-0000-00009A060000}"/>
    <cellStyle name="Normal 5 2 2 2 5" xfId="475" xr:uid="{00000000-0005-0000-0000-00009B060000}"/>
    <cellStyle name="Normal 5 2 2 2 5 2" xfId="1526" xr:uid="{00000000-0005-0000-0000-00009C060000}"/>
    <cellStyle name="Normal 5 2 2 2 6" xfId="1278" xr:uid="{00000000-0005-0000-0000-00009D060000}"/>
    <cellStyle name="Normal 5 2 2 3" xfId="304" xr:uid="{00000000-0005-0000-0000-00009E060000}"/>
    <cellStyle name="Normal 5 2 2 3 2" xfId="1089" xr:uid="{00000000-0005-0000-0000-00009F060000}"/>
    <cellStyle name="Normal 5 2 2 3 2 2" xfId="2135" xr:uid="{00000000-0005-0000-0000-0000A0060000}"/>
    <cellStyle name="Normal 5 2 2 3 3" xfId="823" xr:uid="{00000000-0005-0000-0000-0000A1060000}"/>
    <cellStyle name="Normal 5 2 2 3 3 2" xfId="1869" xr:uid="{00000000-0005-0000-0000-0000A2060000}"/>
    <cellStyle name="Normal 5 2 2 3 4" xfId="552" xr:uid="{00000000-0005-0000-0000-0000A3060000}"/>
    <cellStyle name="Normal 5 2 2 3 4 2" xfId="1603" xr:uid="{00000000-0005-0000-0000-0000A4060000}"/>
    <cellStyle name="Normal 5 2 2 3 5" xfId="1355" xr:uid="{00000000-0005-0000-0000-0000A5060000}"/>
    <cellStyle name="Normal 5 2 2 4" xfId="965" xr:uid="{00000000-0005-0000-0000-0000A6060000}"/>
    <cellStyle name="Normal 5 2 2 4 2" xfId="2011" xr:uid="{00000000-0005-0000-0000-0000A7060000}"/>
    <cellStyle name="Normal 5 2 2 5" xfId="699" xr:uid="{00000000-0005-0000-0000-0000A8060000}"/>
    <cellStyle name="Normal 5 2 2 5 2" xfId="1745" xr:uid="{00000000-0005-0000-0000-0000A9060000}"/>
    <cellStyle name="Normal 5 2 2 6" xfId="428" xr:uid="{00000000-0005-0000-0000-0000AA060000}"/>
    <cellStyle name="Normal 5 2 2 6 2" xfId="1479" xr:uid="{00000000-0005-0000-0000-0000AB060000}"/>
    <cellStyle name="Normal 5 2 2 7" xfId="1231" xr:uid="{00000000-0005-0000-0000-0000AC060000}"/>
    <cellStyle name="Normal 5 2 3" xfId="155" xr:uid="{00000000-0005-0000-0000-0000AD060000}"/>
    <cellStyle name="Normal 5 2 3 2" xfId="309" xr:uid="{00000000-0005-0000-0000-0000AE060000}"/>
    <cellStyle name="Normal 5 2 3 2 2" xfId="1094" xr:uid="{00000000-0005-0000-0000-0000AF060000}"/>
    <cellStyle name="Normal 5 2 3 2 2 2" xfId="2140" xr:uid="{00000000-0005-0000-0000-0000B0060000}"/>
    <cellStyle name="Normal 5 2 3 2 3" xfId="828" xr:uid="{00000000-0005-0000-0000-0000B1060000}"/>
    <cellStyle name="Normal 5 2 3 2 3 2" xfId="1874" xr:uid="{00000000-0005-0000-0000-0000B2060000}"/>
    <cellStyle name="Normal 5 2 3 2 4" xfId="557" xr:uid="{00000000-0005-0000-0000-0000B3060000}"/>
    <cellStyle name="Normal 5 2 3 2 4 2" xfId="1608" xr:uid="{00000000-0005-0000-0000-0000B4060000}"/>
    <cellStyle name="Normal 5 2 3 2 5" xfId="1360" xr:uid="{00000000-0005-0000-0000-0000B5060000}"/>
    <cellStyle name="Normal 5 2 3 3" xfId="970" xr:uid="{00000000-0005-0000-0000-0000B6060000}"/>
    <cellStyle name="Normal 5 2 3 3 2" xfId="2016" xr:uid="{00000000-0005-0000-0000-0000B7060000}"/>
    <cellStyle name="Normal 5 2 3 4" xfId="704" xr:uid="{00000000-0005-0000-0000-0000B8060000}"/>
    <cellStyle name="Normal 5 2 3 4 2" xfId="1750" xr:uid="{00000000-0005-0000-0000-0000B9060000}"/>
    <cellStyle name="Normal 5 2 3 5" xfId="433" xr:uid="{00000000-0005-0000-0000-0000BA060000}"/>
    <cellStyle name="Normal 5 2 3 5 2" xfId="1484" xr:uid="{00000000-0005-0000-0000-0000BB060000}"/>
    <cellStyle name="Normal 5 2 3 6" xfId="1236" xr:uid="{00000000-0005-0000-0000-0000BC060000}"/>
    <cellStyle name="Normal 5 2 4" xfId="262" xr:uid="{00000000-0005-0000-0000-0000BD060000}"/>
    <cellStyle name="Normal 5 2 4 2" xfId="1047" xr:uid="{00000000-0005-0000-0000-0000BE060000}"/>
    <cellStyle name="Normal 5 2 4 2 2" xfId="2093" xr:uid="{00000000-0005-0000-0000-0000BF060000}"/>
    <cellStyle name="Normal 5 2 4 3" xfId="781" xr:uid="{00000000-0005-0000-0000-0000C0060000}"/>
    <cellStyle name="Normal 5 2 4 3 2" xfId="1827" xr:uid="{00000000-0005-0000-0000-0000C1060000}"/>
    <cellStyle name="Normal 5 2 4 4" xfId="510" xr:uid="{00000000-0005-0000-0000-0000C2060000}"/>
    <cellStyle name="Normal 5 2 4 4 2" xfId="1561" xr:uid="{00000000-0005-0000-0000-0000C3060000}"/>
    <cellStyle name="Normal 5 2 4 5" xfId="1313" xr:uid="{00000000-0005-0000-0000-0000C4060000}"/>
    <cellStyle name="Normal 5 2 5" xfId="923" xr:uid="{00000000-0005-0000-0000-0000C5060000}"/>
    <cellStyle name="Normal 5 2 5 2" xfId="1969" xr:uid="{00000000-0005-0000-0000-0000C6060000}"/>
    <cellStyle name="Normal 5 2 6" xfId="657" xr:uid="{00000000-0005-0000-0000-0000C7060000}"/>
    <cellStyle name="Normal 5 2 6 2" xfId="1703" xr:uid="{00000000-0005-0000-0000-0000C8060000}"/>
    <cellStyle name="Normal 5 2 7" xfId="386" xr:uid="{00000000-0005-0000-0000-0000C9060000}"/>
    <cellStyle name="Normal 5 2 7 2" xfId="1437" xr:uid="{00000000-0005-0000-0000-0000CA060000}"/>
    <cellStyle name="Normal 5 2 8" xfId="1189" xr:uid="{00000000-0005-0000-0000-0000CB060000}"/>
    <cellStyle name="Normal 5 3" xfId="109" xr:uid="{00000000-0005-0000-0000-0000CC060000}"/>
    <cellStyle name="Normal 5 4" xfId="144" xr:uid="{00000000-0005-0000-0000-0000CD060000}"/>
    <cellStyle name="Normal 5 4 2" xfId="196" xr:uid="{00000000-0005-0000-0000-0000CE060000}"/>
    <cellStyle name="Normal 5 4 2 2" xfId="350" xr:uid="{00000000-0005-0000-0000-0000CF060000}"/>
    <cellStyle name="Normal 5 4 2 2 2" xfId="1135" xr:uid="{00000000-0005-0000-0000-0000D0060000}"/>
    <cellStyle name="Normal 5 4 2 2 2 2" xfId="2181" xr:uid="{00000000-0005-0000-0000-0000D1060000}"/>
    <cellStyle name="Normal 5 4 2 2 3" xfId="869" xr:uid="{00000000-0005-0000-0000-0000D2060000}"/>
    <cellStyle name="Normal 5 4 2 2 3 2" xfId="1915" xr:uid="{00000000-0005-0000-0000-0000D3060000}"/>
    <cellStyle name="Normal 5 4 2 2 4" xfId="598" xr:uid="{00000000-0005-0000-0000-0000D4060000}"/>
    <cellStyle name="Normal 5 4 2 2 4 2" xfId="1649" xr:uid="{00000000-0005-0000-0000-0000D5060000}"/>
    <cellStyle name="Normal 5 4 2 2 5" xfId="1401" xr:uid="{00000000-0005-0000-0000-0000D6060000}"/>
    <cellStyle name="Normal 5 4 2 3" xfId="1011" xr:uid="{00000000-0005-0000-0000-0000D7060000}"/>
    <cellStyle name="Normal 5 4 2 3 2" xfId="2057" xr:uid="{00000000-0005-0000-0000-0000D8060000}"/>
    <cellStyle name="Normal 5 4 2 4" xfId="745" xr:uid="{00000000-0005-0000-0000-0000D9060000}"/>
    <cellStyle name="Normal 5 4 2 4 2" xfId="1791" xr:uid="{00000000-0005-0000-0000-0000DA060000}"/>
    <cellStyle name="Normal 5 4 2 5" xfId="474" xr:uid="{00000000-0005-0000-0000-0000DB060000}"/>
    <cellStyle name="Normal 5 4 2 5 2" xfId="1525" xr:uid="{00000000-0005-0000-0000-0000DC060000}"/>
    <cellStyle name="Normal 5 4 2 6" xfId="1277" xr:uid="{00000000-0005-0000-0000-0000DD060000}"/>
    <cellStyle name="Normal 5 4 3" xfId="303" xr:uid="{00000000-0005-0000-0000-0000DE060000}"/>
    <cellStyle name="Normal 5 4 3 2" xfId="1088" xr:uid="{00000000-0005-0000-0000-0000DF060000}"/>
    <cellStyle name="Normal 5 4 3 2 2" xfId="2134" xr:uid="{00000000-0005-0000-0000-0000E0060000}"/>
    <cellStyle name="Normal 5 4 3 3" xfId="822" xr:uid="{00000000-0005-0000-0000-0000E1060000}"/>
    <cellStyle name="Normal 5 4 3 3 2" xfId="1868" xr:uid="{00000000-0005-0000-0000-0000E2060000}"/>
    <cellStyle name="Normal 5 4 3 4" xfId="551" xr:uid="{00000000-0005-0000-0000-0000E3060000}"/>
    <cellStyle name="Normal 5 4 3 4 2" xfId="1602" xr:uid="{00000000-0005-0000-0000-0000E4060000}"/>
    <cellStyle name="Normal 5 4 3 5" xfId="1354" xr:uid="{00000000-0005-0000-0000-0000E5060000}"/>
    <cellStyle name="Normal 5 4 4" xfId="964" xr:uid="{00000000-0005-0000-0000-0000E6060000}"/>
    <cellStyle name="Normal 5 4 4 2" xfId="2010" xr:uid="{00000000-0005-0000-0000-0000E7060000}"/>
    <cellStyle name="Normal 5 4 5" xfId="698" xr:uid="{00000000-0005-0000-0000-0000E8060000}"/>
    <cellStyle name="Normal 5 4 5 2" xfId="1744" xr:uid="{00000000-0005-0000-0000-0000E9060000}"/>
    <cellStyle name="Normal 5 4 6" xfId="427" xr:uid="{00000000-0005-0000-0000-0000EA060000}"/>
    <cellStyle name="Normal 5 4 6 2" xfId="1478" xr:uid="{00000000-0005-0000-0000-0000EB060000}"/>
    <cellStyle name="Normal 5 4 7" xfId="1230" xr:uid="{00000000-0005-0000-0000-0000EC060000}"/>
    <cellStyle name="Normal 5 5" xfId="154" xr:uid="{00000000-0005-0000-0000-0000ED060000}"/>
    <cellStyle name="Normal 5 5 2" xfId="308" xr:uid="{00000000-0005-0000-0000-0000EE060000}"/>
    <cellStyle name="Normal 5 5 2 2" xfId="1093" xr:uid="{00000000-0005-0000-0000-0000EF060000}"/>
    <cellStyle name="Normal 5 5 2 2 2" xfId="2139" xr:uid="{00000000-0005-0000-0000-0000F0060000}"/>
    <cellStyle name="Normal 5 5 2 3" xfId="827" xr:uid="{00000000-0005-0000-0000-0000F1060000}"/>
    <cellStyle name="Normal 5 5 2 3 2" xfId="1873" xr:uid="{00000000-0005-0000-0000-0000F2060000}"/>
    <cellStyle name="Normal 5 5 2 4" xfId="556" xr:uid="{00000000-0005-0000-0000-0000F3060000}"/>
    <cellStyle name="Normal 5 5 2 4 2" xfId="1607" xr:uid="{00000000-0005-0000-0000-0000F4060000}"/>
    <cellStyle name="Normal 5 5 2 5" xfId="1359" xr:uid="{00000000-0005-0000-0000-0000F5060000}"/>
    <cellStyle name="Normal 5 5 3" xfId="969" xr:uid="{00000000-0005-0000-0000-0000F6060000}"/>
    <cellStyle name="Normal 5 5 3 2" xfId="2015" xr:uid="{00000000-0005-0000-0000-0000F7060000}"/>
    <cellStyle name="Normal 5 5 4" xfId="703" xr:uid="{00000000-0005-0000-0000-0000F8060000}"/>
    <cellStyle name="Normal 5 5 4 2" xfId="1749" xr:uid="{00000000-0005-0000-0000-0000F9060000}"/>
    <cellStyle name="Normal 5 5 5" xfId="432" xr:uid="{00000000-0005-0000-0000-0000FA060000}"/>
    <cellStyle name="Normal 5 5 5 2" xfId="1483" xr:uid="{00000000-0005-0000-0000-0000FB060000}"/>
    <cellStyle name="Normal 5 5 6" xfId="1235" xr:uid="{00000000-0005-0000-0000-0000FC060000}"/>
    <cellStyle name="Normal 5 6" xfId="261" xr:uid="{00000000-0005-0000-0000-0000FD060000}"/>
    <cellStyle name="Normal 5 6 2" xfId="1046" xr:uid="{00000000-0005-0000-0000-0000FE060000}"/>
    <cellStyle name="Normal 5 6 2 2" xfId="2092" xr:uid="{00000000-0005-0000-0000-0000FF060000}"/>
    <cellStyle name="Normal 5 6 3" xfId="780" xr:uid="{00000000-0005-0000-0000-000000070000}"/>
    <cellStyle name="Normal 5 6 3 2" xfId="1826" xr:uid="{00000000-0005-0000-0000-000001070000}"/>
    <cellStyle name="Normal 5 6 4" xfId="509" xr:uid="{00000000-0005-0000-0000-000002070000}"/>
    <cellStyle name="Normal 5 6 4 2" xfId="1560" xr:uid="{00000000-0005-0000-0000-000003070000}"/>
    <cellStyle name="Normal 5 6 5" xfId="1312" xr:uid="{00000000-0005-0000-0000-000004070000}"/>
    <cellStyle name="Normal 5 7" xfId="653" xr:uid="{00000000-0005-0000-0000-000005070000}"/>
    <cellStyle name="Normal 5 8" xfId="922" xr:uid="{00000000-0005-0000-0000-000006070000}"/>
    <cellStyle name="Normal 5 8 2" xfId="1968" xr:uid="{00000000-0005-0000-0000-000007070000}"/>
    <cellStyle name="Normal 5 9" xfId="656" xr:uid="{00000000-0005-0000-0000-000008070000}"/>
    <cellStyle name="Normal 5 9 2" xfId="1702" xr:uid="{00000000-0005-0000-0000-000009070000}"/>
    <cellStyle name="Normal 6" xfId="14" xr:uid="{00000000-0005-0000-0000-00000A070000}"/>
    <cellStyle name="Normal 6 10" xfId="387" xr:uid="{00000000-0005-0000-0000-00000B070000}"/>
    <cellStyle name="Normal 6 10 2" xfId="1438" xr:uid="{00000000-0005-0000-0000-00000C070000}"/>
    <cellStyle name="Normal 6 11" xfId="1190" xr:uid="{00000000-0005-0000-0000-00000D070000}"/>
    <cellStyle name="Normal 6 2" xfId="15" xr:uid="{00000000-0005-0000-0000-00000E070000}"/>
    <cellStyle name="Normal 6 2 2" xfId="147" xr:uid="{00000000-0005-0000-0000-00000F070000}"/>
    <cellStyle name="Normal 6 2 3" xfId="157" xr:uid="{00000000-0005-0000-0000-000010070000}"/>
    <cellStyle name="Normal 6 2 3 2" xfId="311" xr:uid="{00000000-0005-0000-0000-000011070000}"/>
    <cellStyle name="Normal 6 2 3 2 2" xfId="1096" xr:uid="{00000000-0005-0000-0000-000012070000}"/>
    <cellStyle name="Normal 6 2 3 2 2 2" xfId="2142" xr:uid="{00000000-0005-0000-0000-000013070000}"/>
    <cellStyle name="Normal 6 2 3 2 3" xfId="830" xr:uid="{00000000-0005-0000-0000-000014070000}"/>
    <cellStyle name="Normal 6 2 3 2 3 2" xfId="1876" xr:uid="{00000000-0005-0000-0000-000015070000}"/>
    <cellStyle name="Normal 6 2 3 2 4" xfId="559" xr:uid="{00000000-0005-0000-0000-000016070000}"/>
    <cellStyle name="Normal 6 2 3 2 4 2" xfId="1610" xr:uid="{00000000-0005-0000-0000-000017070000}"/>
    <cellStyle name="Normal 6 2 3 2 5" xfId="1362" xr:uid="{00000000-0005-0000-0000-000018070000}"/>
    <cellStyle name="Normal 6 2 3 3" xfId="972" xr:uid="{00000000-0005-0000-0000-000019070000}"/>
    <cellStyle name="Normal 6 2 3 3 2" xfId="2018" xr:uid="{00000000-0005-0000-0000-00001A070000}"/>
    <cellStyle name="Normal 6 2 3 4" xfId="706" xr:uid="{00000000-0005-0000-0000-00001B070000}"/>
    <cellStyle name="Normal 6 2 3 4 2" xfId="1752" xr:uid="{00000000-0005-0000-0000-00001C070000}"/>
    <cellStyle name="Normal 6 2 3 5" xfId="435" xr:uid="{00000000-0005-0000-0000-00001D070000}"/>
    <cellStyle name="Normal 6 2 3 5 2" xfId="1486" xr:uid="{00000000-0005-0000-0000-00001E070000}"/>
    <cellStyle name="Normal 6 2 3 6" xfId="1238" xr:uid="{00000000-0005-0000-0000-00001F070000}"/>
    <cellStyle name="Normal 6 2 4" xfId="264" xr:uid="{00000000-0005-0000-0000-000020070000}"/>
    <cellStyle name="Normal 6 2 4 2" xfId="1049" xr:uid="{00000000-0005-0000-0000-000021070000}"/>
    <cellStyle name="Normal 6 2 4 2 2" xfId="2095" xr:uid="{00000000-0005-0000-0000-000022070000}"/>
    <cellStyle name="Normal 6 2 4 3" xfId="783" xr:uid="{00000000-0005-0000-0000-000023070000}"/>
    <cellStyle name="Normal 6 2 4 3 2" xfId="1829" xr:uid="{00000000-0005-0000-0000-000024070000}"/>
    <cellStyle name="Normal 6 2 4 4" xfId="512" xr:uid="{00000000-0005-0000-0000-000025070000}"/>
    <cellStyle name="Normal 6 2 4 4 2" xfId="1563" xr:uid="{00000000-0005-0000-0000-000026070000}"/>
    <cellStyle name="Normal 6 2 4 5" xfId="1315" xr:uid="{00000000-0005-0000-0000-000027070000}"/>
    <cellStyle name="Normal 6 2 5" xfId="925" xr:uid="{00000000-0005-0000-0000-000028070000}"/>
    <cellStyle name="Normal 6 2 5 2" xfId="1971" xr:uid="{00000000-0005-0000-0000-000029070000}"/>
    <cellStyle name="Normal 6 2 6" xfId="659" xr:uid="{00000000-0005-0000-0000-00002A070000}"/>
    <cellStyle name="Normal 6 2 6 2" xfId="1705" xr:uid="{00000000-0005-0000-0000-00002B070000}"/>
    <cellStyle name="Normal 6 2 7" xfId="388" xr:uid="{00000000-0005-0000-0000-00002C070000}"/>
    <cellStyle name="Normal 6 2 7 2" xfId="1439" xr:uid="{00000000-0005-0000-0000-00002D070000}"/>
    <cellStyle name="Normal 6 2 8" xfId="1191" xr:uid="{00000000-0005-0000-0000-00002E070000}"/>
    <cellStyle name="Normal 6 3" xfId="110" xr:uid="{00000000-0005-0000-0000-00002F070000}"/>
    <cellStyle name="Normal 6 4" xfId="146" xr:uid="{00000000-0005-0000-0000-000030070000}"/>
    <cellStyle name="Normal 6 5" xfId="156" xr:uid="{00000000-0005-0000-0000-000031070000}"/>
    <cellStyle name="Normal 6 5 2" xfId="310" xr:uid="{00000000-0005-0000-0000-000032070000}"/>
    <cellStyle name="Normal 6 5 2 2" xfId="1095" xr:uid="{00000000-0005-0000-0000-000033070000}"/>
    <cellStyle name="Normal 6 5 2 2 2" xfId="2141" xr:uid="{00000000-0005-0000-0000-000034070000}"/>
    <cellStyle name="Normal 6 5 2 3" xfId="829" xr:uid="{00000000-0005-0000-0000-000035070000}"/>
    <cellStyle name="Normal 6 5 2 3 2" xfId="1875" xr:uid="{00000000-0005-0000-0000-000036070000}"/>
    <cellStyle name="Normal 6 5 2 4" xfId="558" xr:uid="{00000000-0005-0000-0000-000037070000}"/>
    <cellStyle name="Normal 6 5 2 4 2" xfId="1609" xr:uid="{00000000-0005-0000-0000-000038070000}"/>
    <cellStyle name="Normal 6 5 2 5" xfId="1361" xr:uid="{00000000-0005-0000-0000-000039070000}"/>
    <cellStyle name="Normal 6 5 3" xfId="971" xr:uid="{00000000-0005-0000-0000-00003A070000}"/>
    <cellStyle name="Normal 6 5 3 2" xfId="2017" xr:uid="{00000000-0005-0000-0000-00003B070000}"/>
    <cellStyle name="Normal 6 5 4" xfId="705" xr:uid="{00000000-0005-0000-0000-00003C070000}"/>
    <cellStyle name="Normal 6 5 4 2" xfId="1751" xr:uid="{00000000-0005-0000-0000-00003D070000}"/>
    <cellStyle name="Normal 6 5 5" xfId="434" xr:uid="{00000000-0005-0000-0000-00003E070000}"/>
    <cellStyle name="Normal 6 5 5 2" xfId="1485" xr:uid="{00000000-0005-0000-0000-00003F070000}"/>
    <cellStyle name="Normal 6 5 6" xfId="1237" xr:uid="{00000000-0005-0000-0000-000040070000}"/>
    <cellStyle name="Normal 6 6" xfId="245" xr:uid="{00000000-0005-0000-0000-000041070000}"/>
    <cellStyle name="Normal 6 6 2" xfId="369" xr:uid="{00000000-0005-0000-0000-000042070000}"/>
    <cellStyle name="Normal 6 6 2 2" xfId="1154" xr:uid="{00000000-0005-0000-0000-000043070000}"/>
    <cellStyle name="Normal 6 6 2 2 2" xfId="2200" xr:uid="{00000000-0005-0000-0000-000044070000}"/>
    <cellStyle name="Normal 6 6 2 3" xfId="888" xr:uid="{00000000-0005-0000-0000-000045070000}"/>
    <cellStyle name="Normal 6 6 2 3 2" xfId="1934" xr:uid="{00000000-0005-0000-0000-000046070000}"/>
    <cellStyle name="Normal 6 6 2 4" xfId="617" xr:uid="{00000000-0005-0000-0000-000047070000}"/>
    <cellStyle name="Normal 6 6 2 4 2" xfId="1668" xr:uid="{00000000-0005-0000-0000-000048070000}"/>
    <cellStyle name="Normal 6 6 2 5" xfId="1420" xr:uid="{00000000-0005-0000-0000-000049070000}"/>
    <cellStyle name="Normal 6 6 3" xfId="1030" xr:uid="{00000000-0005-0000-0000-00004A070000}"/>
    <cellStyle name="Normal 6 6 3 2" xfId="2076" xr:uid="{00000000-0005-0000-0000-00004B070000}"/>
    <cellStyle name="Normal 6 6 4" xfId="764" xr:uid="{00000000-0005-0000-0000-00004C070000}"/>
    <cellStyle name="Normal 6 6 4 2" xfId="1810" xr:uid="{00000000-0005-0000-0000-00004D070000}"/>
    <cellStyle name="Normal 6 6 5" xfId="493" xr:uid="{00000000-0005-0000-0000-00004E070000}"/>
    <cellStyle name="Normal 6 6 5 2" xfId="1544" xr:uid="{00000000-0005-0000-0000-00004F070000}"/>
    <cellStyle name="Normal 6 6 6" xfId="1296" xr:uid="{00000000-0005-0000-0000-000050070000}"/>
    <cellStyle name="Normal 6 7" xfId="263" xr:uid="{00000000-0005-0000-0000-000051070000}"/>
    <cellStyle name="Normal 6 7 2" xfId="1048" xr:uid="{00000000-0005-0000-0000-000052070000}"/>
    <cellStyle name="Normal 6 7 2 2" xfId="2094" xr:uid="{00000000-0005-0000-0000-000053070000}"/>
    <cellStyle name="Normal 6 7 3" xfId="782" xr:uid="{00000000-0005-0000-0000-000054070000}"/>
    <cellStyle name="Normal 6 7 3 2" xfId="1828" xr:uid="{00000000-0005-0000-0000-000055070000}"/>
    <cellStyle name="Normal 6 7 4" xfId="511" xr:uid="{00000000-0005-0000-0000-000056070000}"/>
    <cellStyle name="Normal 6 7 4 2" xfId="1562" xr:uid="{00000000-0005-0000-0000-000057070000}"/>
    <cellStyle name="Normal 6 7 5" xfId="1314" xr:uid="{00000000-0005-0000-0000-000058070000}"/>
    <cellStyle name="Normal 6 8" xfId="924" xr:uid="{00000000-0005-0000-0000-000059070000}"/>
    <cellStyle name="Normal 6 8 2" xfId="1970" xr:uid="{00000000-0005-0000-0000-00005A070000}"/>
    <cellStyle name="Normal 6 9" xfId="658" xr:uid="{00000000-0005-0000-0000-00005B070000}"/>
    <cellStyle name="Normal 6 9 2" xfId="1704" xr:uid="{00000000-0005-0000-0000-00005C070000}"/>
    <cellStyle name="Normal 7" xfId="111" xr:uid="{00000000-0005-0000-0000-00005D070000}"/>
    <cellStyle name="Normal 7 2" xfId="112" xr:uid="{00000000-0005-0000-0000-00005E070000}"/>
    <cellStyle name="Normal 8" xfId="113" xr:uid="{00000000-0005-0000-0000-00005F070000}"/>
    <cellStyle name="Normal 9" xfId="114" xr:uid="{00000000-0005-0000-0000-000060070000}"/>
    <cellStyle name="Normal_healthcare edit.xls" xfId="152" xr:uid="{00000000-0005-0000-0000-000061070000}"/>
    <cellStyle name="Normal_office as built edit.xls" xfId="2234" xr:uid="{00000000-0005-0000-0000-000062070000}"/>
    <cellStyle name="Note 2" xfId="115" xr:uid="{00000000-0005-0000-0000-000063070000}"/>
    <cellStyle name="Note 2 2" xfId="116" xr:uid="{00000000-0005-0000-0000-000064070000}"/>
    <cellStyle name="Note 2 2 2" xfId="178" xr:uid="{00000000-0005-0000-0000-000065070000}"/>
    <cellStyle name="Note 2 2 2 2" xfId="332" xr:uid="{00000000-0005-0000-0000-000066070000}"/>
    <cellStyle name="Note 2 2 2 2 2" xfId="1117" xr:uid="{00000000-0005-0000-0000-000067070000}"/>
    <cellStyle name="Note 2 2 2 2 2 2" xfId="2163" xr:uid="{00000000-0005-0000-0000-000068070000}"/>
    <cellStyle name="Note 2 2 2 2 3" xfId="851" xr:uid="{00000000-0005-0000-0000-000069070000}"/>
    <cellStyle name="Note 2 2 2 2 3 2" xfId="1897" xr:uid="{00000000-0005-0000-0000-00006A070000}"/>
    <cellStyle name="Note 2 2 2 2 4" xfId="580" xr:uid="{00000000-0005-0000-0000-00006B070000}"/>
    <cellStyle name="Note 2 2 2 2 4 2" xfId="1631" xr:uid="{00000000-0005-0000-0000-00006C070000}"/>
    <cellStyle name="Note 2 2 2 2 5" xfId="1383" xr:uid="{00000000-0005-0000-0000-00006D070000}"/>
    <cellStyle name="Note 2 2 2 3" xfId="993" xr:uid="{00000000-0005-0000-0000-00006E070000}"/>
    <cellStyle name="Note 2 2 2 3 2" xfId="2039" xr:uid="{00000000-0005-0000-0000-00006F070000}"/>
    <cellStyle name="Note 2 2 2 4" xfId="727" xr:uid="{00000000-0005-0000-0000-000070070000}"/>
    <cellStyle name="Note 2 2 2 4 2" xfId="1773" xr:uid="{00000000-0005-0000-0000-000071070000}"/>
    <cellStyle name="Note 2 2 2 5" xfId="456" xr:uid="{00000000-0005-0000-0000-000072070000}"/>
    <cellStyle name="Note 2 2 2 5 2" xfId="1507" xr:uid="{00000000-0005-0000-0000-000073070000}"/>
    <cellStyle name="Note 2 2 2 6" xfId="1259" xr:uid="{00000000-0005-0000-0000-000074070000}"/>
    <cellStyle name="Note 2 2 3" xfId="285" xr:uid="{00000000-0005-0000-0000-000075070000}"/>
    <cellStyle name="Note 2 2 3 2" xfId="1070" xr:uid="{00000000-0005-0000-0000-000076070000}"/>
    <cellStyle name="Note 2 2 3 2 2" xfId="2116" xr:uid="{00000000-0005-0000-0000-000077070000}"/>
    <cellStyle name="Note 2 2 3 3" xfId="804" xr:uid="{00000000-0005-0000-0000-000078070000}"/>
    <cellStyle name="Note 2 2 3 3 2" xfId="1850" xr:uid="{00000000-0005-0000-0000-000079070000}"/>
    <cellStyle name="Note 2 2 3 4" xfId="533" xr:uid="{00000000-0005-0000-0000-00007A070000}"/>
    <cellStyle name="Note 2 2 3 4 2" xfId="1584" xr:uid="{00000000-0005-0000-0000-00007B070000}"/>
    <cellStyle name="Note 2 2 3 5" xfId="1336" xr:uid="{00000000-0005-0000-0000-00007C070000}"/>
    <cellStyle name="Note 2 2 4" xfId="946" xr:uid="{00000000-0005-0000-0000-00007D070000}"/>
    <cellStyle name="Note 2 2 4 2" xfId="1992" xr:uid="{00000000-0005-0000-0000-00007E070000}"/>
    <cellStyle name="Note 2 2 5" xfId="680" xr:uid="{00000000-0005-0000-0000-00007F070000}"/>
    <cellStyle name="Note 2 2 5 2" xfId="1726" xr:uid="{00000000-0005-0000-0000-000080070000}"/>
    <cellStyle name="Note 2 2 6" xfId="409" xr:uid="{00000000-0005-0000-0000-000081070000}"/>
    <cellStyle name="Note 2 2 6 2" xfId="1460" xr:uid="{00000000-0005-0000-0000-000082070000}"/>
    <cellStyle name="Note 2 2 7" xfId="1212" xr:uid="{00000000-0005-0000-0000-000083070000}"/>
    <cellStyle name="Note 2 3" xfId="117" xr:uid="{00000000-0005-0000-0000-000084070000}"/>
    <cellStyle name="Note 2 3 2" xfId="179" xr:uid="{00000000-0005-0000-0000-000085070000}"/>
    <cellStyle name="Note 2 3 2 2" xfId="333" xr:uid="{00000000-0005-0000-0000-000086070000}"/>
    <cellStyle name="Note 2 3 2 2 2" xfId="1118" xr:uid="{00000000-0005-0000-0000-000087070000}"/>
    <cellStyle name="Note 2 3 2 2 2 2" xfId="2164" xr:uid="{00000000-0005-0000-0000-000088070000}"/>
    <cellStyle name="Note 2 3 2 2 3" xfId="852" xr:uid="{00000000-0005-0000-0000-000089070000}"/>
    <cellStyle name="Note 2 3 2 2 3 2" xfId="1898" xr:uid="{00000000-0005-0000-0000-00008A070000}"/>
    <cellStyle name="Note 2 3 2 2 4" xfId="581" xr:uid="{00000000-0005-0000-0000-00008B070000}"/>
    <cellStyle name="Note 2 3 2 2 4 2" xfId="1632" xr:uid="{00000000-0005-0000-0000-00008C070000}"/>
    <cellStyle name="Note 2 3 2 2 5" xfId="1384" xr:uid="{00000000-0005-0000-0000-00008D070000}"/>
    <cellStyle name="Note 2 3 2 3" xfId="994" xr:uid="{00000000-0005-0000-0000-00008E070000}"/>
    <cellStyle name="Note 2 3 2 3 2" xfId="2040" xr:uid="{00000000-0005-0000-0000-00008F070000}"/>
    <cellStyle name="Note 2 3 2 4" xfId="728" xr:uid="{00000000-0005-0000-0000-000090070000}"/>
    <cellStyle name="Note 2 3 2 4 2" xfId="1774" xr:uid="{00000000-0005-0000-0000-000091070000}"/>
    <cellStyle name="Note 2 3 2 5" xfId="457" xr:uid="{00000000-0005-0000-0000-000092070000}"/>
    <cellStyle name="Note 2 3 2 5 2" xfId="1508" xr:uid="{00000000-0005-0000-0000-000093070000}"/>
    <cellStyle name="Note 2 3 2 6" xfId="1260" xr:uid="{00000000-0005-0000-0000-000094070000}"/>
    <cellStyle name="Note 2 3 3" xfId="286" xr:uid="{00000000-0005-0000-0000-000095070000}"/>
    <cellStyle name="Note 2 3 3 2" xfId="1071" xr:uid="{00000000-0005-0000-0000-000096070000}"/>
    <cellStyle name="Note 2 3 3 2 2" xfId="2117" xr:uid="{00000000-0005-0000-0000-000097070000}"/>
    <cellStyle name="Note 2 3 3 3" xfId="805" xr:uid="{00000000-0005-0000-0000-000098070000}"/>
    <cellStyle name="Note 2 3 3 3 2" xfId="1851" xr:uid="{00000000-0005-0000-0000-000099070000}"/>
    <cellStyle name="Note 2 3 3 4" xfId="534" xr:uid="{00000000-0005-0000-0000-00009A070000}"/>
    <cellStyle name="Note 2 3 3 4 2" xfId="1585" xr:uid="{00000000-0005-0000-0000-00009B070000}"/>
    <cellStyle name="Note 2 3 3 5" xfId="1337" xr:uid="{00000000-0005-0000-0000-00009C070000}"/>
    <cellStyle name="Note 2 3 4" xfId="947" xr:uid="{00000000-0005-0000-0000-00009D070000}"/>
    <cellStyle name="Note 2 3 4 2" xfId="1993" xr:uid="{00000000-0005-0000-0000-00009E070000}"/>
    <cellStyle name="Note 2 3 5" xfId="681" xr:uid="{00000000-0005-0000-0000-00009F070000}"/>
    <cellStyle name="Note 2 3 5 2" xfId="1727" xr:uid="{00000000-0005-0000-0000-0000A0070000}"/>
    <cellStyle name="Note 2 3 6" xfId="410" xr:uid="{00000000-0005-0000-0000-0000A1070000}"/>
    <cellStyle name="Note 2 3 6 2" xfId="1461" xr:uid="{00000000-0005-0000-0000-0000A2070000}"/>
    <cellStyle name="Note 2 3 7" xfId="1213" xr:uid="{00000000-0005-0000-0000-0000A3070000}"/>
    <cellStyle name="Note 2 4" xfId="118" xr:uid="{00000000-0005-0000-0000-0000A4070000}"/>
    <cellStyle name="Note 2 4 2" xfId="180" xr:uid="{00000000-0005-0000-0000-0000A5070000}"/>
    <cellStyle name="Note 2 4 2 2" xfId="334" xr:uid="{00000000-0005-0000-0000-0000A6070000}"/>
    <cellStyle name="Note 2 4 2 2 2" xfId="1119" xr:uid="{00000000-0005-0000-0000-0000A7070000}"/>
    <cellStyle name="Note 2 4 2 2 2 2" xfId="2165" xr:uid="{00000000-0005-0000-0000-0000A8070000}"/>
    <cellStyle name="Note 2 4 2 2 3" xfId="853" xr:uid="{00000000-0005-0000-0000-0000A9070000}"/>
    <cellStyle name="Note 2 4 2 2 3 2" xfId="1899" xr:uid="{00000000-0005-0000-0000-0000AA070000}"/>
    <cellStyle name="Note 2 4 2 2 4" xfId="582" xr:uid="{00000000-0005-0000-0000-0000AB070000}"/>
    <cellStyle name="Note 2 4 2 2 4 2" xfId="1633" xr:uid="{00000000-0005-0000-0000-0000AC070000}"/>
    <cellStyle name="Note 2 4 2 2 5" xfId="1385" xr:uid="{00000000-0005-0000-0000-0000AD070000}"/>
    <cellStyle name="Note 2 4 2 3" xfId="995" xr:uid="{00000000-0005-0000-0000-0000AE070000}"/>
    <cellStyle name="Note 2 4 2 3 2" xfId="2041" xr:uid="{00000000-0005-0000-0000-0000AF070000}"/>
    <cellStyle name="Note 2 4 2 4" xfId="729" xr:uid="{00000000-0005-0000-0000-0000B0070000}"/>
    <cellStyle name="Note 2 4 2 4 2" xfId="1775" xr:uid="{00000000-0005-0000-0000-0000B1070000}"/>
    <cellStyle name="Note 2 4 2 5" xfId="458" xr:uid="{00000000-0005-0000-0000-0000B2070000}"/>
    <cellStyle name="Note 2 4 2 5 2" xfId="1509" xr:uid="{00000000-0005-0000-0000-0000B3070000}"/>
    <cellStyle name="Note 2 4 2 6" xfId="1261" xr:uid="{00000000-0005-0000-0000-0000B4070000}"/>
    <cellStyle name="Note 2 4 3" xfId="287" xr:uid="{00000000-0005-0000-0000-0000B5070000}"/>
    <cellStyle name="Note 2 4 3 2" xfId="1072" xr:uid="{00000000-0005-0000-0000-0000B6070000}"/>
    <cellStyle name="Note 2 4 3 2 2" xfId="2118" xr:uid="{00000000-0005-0000-0000-0000B7070000}"/>
    <cellStyle name="Note 2 4 3 3" xfId="806" xr:uid="{00000000-0005-0000-0000-0000B8070000}"/>
    <cellStyle name="Note 2 4 3 3 2" xfId="1852" xr:uid="{00000000-0005-0000-0000-0000B9070000}"/>
    <cellStyle name="Note 2 4 3 4" xfId="535" xr:uid="{00000000-0005-0000-0000-0000BA070000}"/>
    <cellStyle name="Note 2 4 3 4 2" xfId="1586" xr:uid="{00000000-0005-0000-0000-0000BB070000}"/>
    <cellStyle name="Note 2 4 3 5" xfId="1338" xr:uid="{00000000-0005-0000-0000-0000BC070000}"/>
    <cellStyle name="Note 2 4 4" xfId="948" xr:uid="{00000000-0005-0000-0000-0000BD070000}"/>
    <cellStyle name="Note 2 4 4 2" xfId="1994" xr:uid="{00000000-0005-0000-0000-0000BE070000}"/>
    <cellStyle name="Note 2 4 5" xfId="682" xr:uid="{00000000-0005-0000-0000-0000BF070000}"/>
    <cellStyle name="Note 2 4 5 2" xfId="1728" xr:uid="{00000000-0005-0000-0000-0000C0070000}"/>
    <cellStyle name="Note 2 4 6" xfId="411" xr:uid="{00000000-0005-0000-0000-0000C1070000}"/>
    <cellStyle name="Note 2 4 6 2" xfId="1462" xr:uid="{00000000-0005-0000-0000-0000C2070000}"/>
    <cellStyle name="Note 2 4 7" xfId="1214" xr:uid="{00000000-0005-0000-0000-0000C3070000}"/>
    <cellStyle name="Note 3" xfId="119" xr:uid="{00000000-0005-0000-0000-0000C4070000}"/>
    <cellStyle name="Note 3 2" xfId="181" xr:uid="{00000000-0005-0000-0000-0000C5070000}"/>
    <cellStyle name="Note 3 2 2" xfId="335" xr:uid="{00000000-0005-0000-0000-0000C6070000}"/>
    <cellStyle name="Note 3 2 2 2" xfId="1120" xr:uid="{00000000-0005-0000-0000-0000C7070000}"/>
    <cellStyle name="Note 3 2 2 2 2" xfId="2166" xr:uid="{00000000-0005-0000-0000-0000C8070000}"/>
    <cellStyle name="Note 3 2 2 3" xfId="854" xr:uid="{00000000-0005-0000-0000-0000C9070000}"/>
    <cellStyle name="Note 3 2 2 3 2" xfId="1900" xr:uid="{00000000-0005-0000-0000-0000CA070000}"/>
    <cellStyle name="Note 3 2 2 4" xfId="583" xr:uid="{00000000-0005-0000-0000-0000CB070000}"/>
    <cellStyle name="Note 3 2 2 4 2" xfId="1634" xr:uid="{00000000-0005-0000-0000-0000CC070000}"/>
    <cellStyle name="Note 3 2 2 5" xfId="1386" xr:uid="{00000000-0005-0000-0000-0000CD070000}"/>
    <cellStyle name="Note 3 2 3" xfId="996" xr:uid="{00000000-0005-0000-0000-0000CE070000}"/>
    <cellStyle name="Note 3 2 3 2" xfId="2042" xr:uid="{00000000-0005-0000-0000-0000CF070000}"/>
    <cellStyle name="Note 3 2 4" xfId="730" xr:uid="{00000000-0005-0000-0000-0000D0070000}"/>
    <cellStyle name="Note 3 2 4 2" xfId="1776" xr:uid="{00000000-0005-0000-0000-0000D1070000}"/>
    <cellStyle name="Note 3 2 5" xfId="459" xr:uid="{00000000-0005-0000-0000-0000D2070000}"/>
    <cellStyle name="Note 3 2 5 2" xfId="1510" xr:uid="{00000000-0005-0000-0000-0000D3070000}"/>
    <cellStyle name="Note 3 2 6" xfId="1262" xr:uid="{00000000-0005-0000-0000-0000D4070000}"/>
    <cellStyle name="Note 3 3" xfId="288" xr:uid="{00000000-0005-0000-0000-0000D5070000}"/>
    <cellStyle name="Note 3 3 2" xfId="1073" xr:uid="{00000000-0005-0000-0000-0000D6070000}"/>
    <cellStyle name="Note 3 3 2 2" xfId="2119" xr:uid="{00000000-0005-0000-0000-0000D7070000}"/>
    <cellStyle name="Note 3 3 3" xfId="807" xr:uid="{00000000-0005-0000-0000-0000D8070000}"/>
    <cellStyle name="Note 3 3 3 2" xfId="1853" xr:uid="{00000000-0005-0000-0000-0000D9070000}"/>
    <cellStyle name="Note 3 3 4" xfId="536" xr:uid="{00000000-0005-0000-0000-0000DA070000}"/>
    <cellStyle name="Note 3 3 4 2" xfId="1587" xr:uid="{00000000-0005-0000-0000-0000DB070000}"/>
    <cellStyle name="Note 3 3 5" xfId="1339" xr:uid="{00000000-0005-0000-0000-0000DC070000}"/>
    <cellStyle name="Note 3 4" xfId="949" xr:uid="{00000000-0005-0000-0000-0000DD070000}"/>
    <cellStyle name="Note 3 4 2" xfId="1995" xr:uid="{00000000-0005-0000-0000-0000DE070000}"/>
    <cellStyle name="Note 3 5" xfId="683" xr:uid="{00000000-0005-0000-0000-0000DF070000}"/>
    <cellStyle name="Note 3 5 2" xfId="1729" xr:uid="{00000000-0005-0000-0000-0000E0070000}"/>
    <cellStyle name="Note 3 6" xfId="412" xr:uid="{00000000-0005-0000-0000-0000E1070000}"/>
    <cellStyle name="Note 3 6 2" xfId="1463" xr:uid="{00000000-0005-0000-0000-0000E2070000}"/>
    <cellStyle name="Note 3 7" xfId="1215" xr:uid="{00000000-0005-0000-0000-0000E3070000}"/>
    <cellStyle name="Note 4" xfId="120" xr:uid="{00000000-0005-0000-0000-0000E4070000}"/>
    <cellStyle name="Note 4 2" xfId="182" xr:uid="{00000000-0005-0000-0000-0000E5070000}"/>
    <cellStyle name="Note 4 2 2" xfId="336" xr:uid="{00000000-0005-0000-0000-0000E6070000}"/>
    <cellStyle name="Note 4 2 2 2" xfId="1121" xr:uid="{00000000-0005-0000-0000-0000E7070000}"/>
    <cellStyle name="Note 4 2 2 2 2" xfId="2167" xr:uid="{00000000-0005-0000-0000-0000E8070000}"/>
    <cellStyle name="Note 4 2 2 3" xfId="855" xr:uid="{00000000-0005-0000-0000-0000E9070000}"/>
    <cellStyle name="Note 4 2 2 3 2" xfId="1901" xr:uid="{00000000-0005-0000-0000-0000EA070000}"/>
    <cellStyle name="Note 4 2 2 4" xfId="584" xr:uid="{00000000-0005-0000-0000-0000EB070000}"/>
    <cellStyle name="Note 4 2 2 4 2" xfId="1635" xr:uid="{00000000-0005-0000-0000-0000EC070000}"/>
    <cellStyle name="Note 4 2 2 5" xfId="1387" xr:uid="{00000000-0005-0000-0000-0000ED070000}"/>
    <cellStyle name="Note 4 2 3" xfId="997" xr:uid="{00000000-0005-0000-0000-0000EE070000}"/>
    <cellStyle name="Note 4 2 3 2" xfId="2043" xr:uid="{00000000-0005-0000-0000-0000EF070000}"/>
    <cellStyle name="Note 4 2 4" xfId="731" xr:uid="{00000000-0005-0000-0000-0000F0070000}"/>
    <cellStyle name="Note 4 2 4 2" xfId="1777" xr:uid="{00000000-0005-0000-0000-0000F1070000}"/>
    <cellStyle name="Note 4 2 5" xfId="460" xr:uid="{00000000-0005-0000-0000-0000F2070000}"/>
    <cellStyle name="Note 4 2 5 2" xfId="1511" xr:uid="{00000000-0005-0000-0000-0000F3070000}"/>
    <cellStyle name="Note 4 2 6" xfId="1263" xr:uid="{00000000-0005-0000-0000-0000F4070000}"/>
    <cellStyle name="Note 4 3" xfId="289" xr:uid="{00000000-0005-0000-0000-0000F5070000}"/>
    <cellStyle name="Note 4 3 2" xfId="1074" xr:uid="{00000000-0005-0000-0000-0000F6070000}"/>
    <cellStyle name="Note 4 3 2 2" xfId="2120" xr:uid="{00000000-0005-0000-0000-0000F7070000}"/>
    <cellStyle name="Note 4 3 3" xfId="808" xr:uid="{00000000-0005-0000-0000-0000F8070000}"/>
    <cellStyle name="Note 4 3 3 2" xfId="1854" xr:uid="{00000000-0005-0000-0000-0000F9070000}"/>
    <cellStyle name="Note 4 3 4" xfId="537" xr:uid="{00000000-0005-0000-0000-0000FA070000}"/>
    <cellStyle name="Note 4 3 4 2" xfId="1588" xr:uid="{00000000-0005-0000-0000-0000FB070000}"/>
    <cellStyle name="Note 4 3 5" xfId="1340" xr:uid="{00000000-0005-0000-0000-0000FC070000}"/>
    <cellStyle name="Note 4 4" xfId="950" xr:uid="{00000000-0005-0000-0000-0000FD070000}"/>
    <cellStyle name="Note 4 4 2" xfId="1996" xr:uid="{00000000-0005-0000-0000-0000FE070000}"/>
    <cellStyle name="Note 4 5" xfId="684" xr:uid="{00000000-0005-0000-0000-0000FF070000}"/>
    <cellStyle name="Note 4 5 2" xfId="1730" xr:uid="{00000000-0005-0000-0000-000000080000}"/>
    <cellStyle name="Note 4 6" xfId="413" xr:uid="{00000000-0005-0000-0000-000001080000}"/>
    <cellStyle name="Note 4 6 2" xfId="1464" xr:uid="{00000000-0005-0000-0000-000002080000}"/>
    <cellStyle name="Note 4 7" xfId="1216" xr:uid="{00000000-0005-0000-0000-000003080000}"/>
    <cellStyle name="Note 5" xfId="121" xr:uid="{00000000-0005-0000-0000-000004080000}"/>
    <cellStyle name="Note 5 2" xfId="183" xr:uid="{00000000-0005-0000-0000-000005080000}"/>
    <cellStyle name="Note 5 2 2" xfId="337" xr:uid="{00000000-0005-0000-0000-000006080000}"/>
    <cellStyle name="Note 5 2 2 2" xfId="1122" xr:uid="{00000000-0005-0000-0000-000007080000}"/>
    <cellStyle name="Note 5 2 2 2 2" xfId="2168" xr:uid="{00000000-0005-0000-0000-000008080000}"/>
    <cellStyle name="Note 5 2 2 3" xfId="856" xr:uid="{00000000-0005-0000-0000-000009080000}"/>
    <cellStyle name="Note 5 2 2 3 2" xfId="1902" xr:uid="{00000000-0005-0000-0000-00000A080000}"/>
    <cellStyle name="Note 5 2 2 4" xfId="585" xr:uid="{00000000-0005-0000-0000-00000B080000}"/>
    <cellStyle name="Note 5 2 2 4 2" xfId="1636" xr:uid="{00000000-0005-0000-0000-00000C080000}"/>
    <cellStyle name="Note 5 2 2 5" xfId="1388" xr:uid="{00000000-0005-0000-0000-00000D080000}"/>
    <cellStyle name="Note 5 2 3" xfId="998" xr:uid="{00000000-0005-0000-0000-00000E080000}"/>
    <cellStyle name="Note 5 2 3 2" xfId="2044" xr:uid="{00000000-0005-0000-0000-00000F080000}"/>
    <cellStyle name="Note 5 2 4" xfId="732" xr:uid="{00000000-0005-0000-0000-000010080000}"/>
    <cellStyle name="Note 5 2 4 2" xfId="1778" xr:uid="{00000000-0005-0000-0000-000011080000}"/>
    <cellStyle name="Note 5 2 5" xfId="461" xr:uid="{00000000-0005-0000-0000-000012080000}"/>
    <cellStyle name="Note 5 2 5 2" xfId="1512" xr:uid="{00000000-0005-0000-0000-000013080000}"/>
    <cellStyle name="Note 5 2 6" xfId="1264" xr:uid="{00000000-0005-0000-0000-000014080000}"/>
    <cellStyle name="Note 5 3" xfId="290" xr:uid="{00000000-0005-0000-0000-000015080000}"/>
    <cellStyle name="Note 5 3 2" xfId="1075" xr:uid="{00000000-0005-0000-0000-000016080000}"/>
    <cellStyle name="Note 5 3 2 2" xfId="2121" xr:uid="{00000000-0005-0000-0000-000017080000}"/>
    <cellStyle name="Note 5 3 3" xfId="809" xr:uid="{00000000-0005-0000-0000-000018080000}"/>
    <cellStyle name="Note 5 3 3 2" xfId="1855" xr:uid="{00000000-0005-0000-0000-000019080000}"/>
    <cellStyle name="Note 5 3 4" xfId="538" xr:uid="{00000000-0005-0000-0000-00001A080000}"/>
    <cellStyle name="Note 5 3 4 2" xfId="1589" xr:uid="{00000000-0005-0000-0000-00001B080000}"/>
    <cellStyle name="Note 5 3 5" xfId="1341" xr:uid="{00000000-0005-0000-0000-00001C080000}"/>
    <cellStyle name="Note 5 4" xfId="951" xr:uid="{00000000-0005-0000-0000-00001D080000}"/>
    <cellStyle name="Note 5 4 2" xfId="1997" xr:uid="{00000000-0005-0000-0000-00001E080000}"/>
    <cellStyle name="Note 5 5" xfId="685" xr:uid="{00000000-0005-0000-0000-00001F080000}"/>
    <cellStyle name="Note 5 5 2" xfId="1731" xr:uid="{00000000-0005-0000-0000-000020080000}"/>
    <cellStyle name="Note 5 6" xfId="414" xr:uid="{00000000-0005-0000-0000-000021080000}"/>
    <cellStyle name="Note 5 6 2" xfId="1465" xr:uid="{00000000-0005-0000-0000-000022080000}"/>
    <cellStyle name="Note 5 7" xfId="1217" xr:uid="{00000000-0005-0000-0000-000023080000}"/>
    <cellStyle name="Note 6" xfId="241" xr:uid="{00000000-0005-0000-0000-000024080000}"/>
    <cellStyle name="Note 6 2" xfId="367" xr:uid="{00000000-0005-0000-0000-000025080000}"/>
    <cellStyle name="Note 6 2 2" xfId="1152" xr:uid="{00000000-0005-0000-0000-000026080000}"/>
    <cellStyle name="Note 6 2 2 2" xfId="2198" xr:uid="{00000000-0005-0000-0000-000027080000}"/>
    <cellStyle name="Note 6 2 3" xfId="886" xr:uid="{00000000-0005-0000-0000-000028080000}"/>
    <cellStyle name="Note 6 2 3 2" xfId="1932" xr:uid="{00000000-0005-0000-0000-000029080000}"/>
    <cellStyle name="Note 6 2 4" xfId="615" xr:uid="{00000000-0005-0000-0000-00002A080000}"/>
    <cellStyle name="Note 6 2 4 2" xfId="1666" xr:uid="{00000000-0005-0000-0000-00002B080000}"/>
    <cellStyle name="Note 6 2 5" xfId="1418" xr:uid="{00000000-0005-0000-0000-00002C080000}"/>
    <cellStyle name="Note 6 3" xfId="1028" xr:uid="{00000000-0005-0000-0000-00002D080000}"/>
    <cellStyle name="Note 6 3 2" xfId="2074" xr:uid="{00000000-0005-0000-0000-00002E080000}"/>
    <cellStyle name="Note 6 4" xfId="762" xr:uid="{00000000-0005-0000-0000-00002F080000}"/>
    <cellStyle name="Note 6 4 2" xfId="1808" xr:uid="{00000000-0005-0000-0000-000030080000}"/>
    <cellStyle name="Note 6 5" xfId="491" xr:uid="{00000000-0005-0000-0000-000031080000}"/>
    <cellStyle name="Note 6 5 2" xfId="1542" xr:uid="{00000000-0005-0000-0000-000032080000}"/>
    <cellStyle name="Note 6 6" xfId="1294" xr:uid="{00000000-0005-0000-0000-000033080000}"/>
    <cellStyle name="Note 7" xfId="247" xr:uid="{00000000-0005-0000-0000-000034080000}"/>
    <cellStyle name="Note 7 2" xfId="371" xr:uid="{00000000-0005-0000-0000-000035080000}"/>
    <cellStyle name="Note 7 2 2" xfId="1156" xr:uid="{00000000-0005-0000-0000-000036080000}"/>
    <cellStyle name="Note 7 2 2 2" xfId="2202" xr:uid="{00000000-0005-0000-0000-000037080000}"/>
    <cellStyle name="Note 7 2 3" xfId="890" xr:uid="{00000000-0005-0000-0000-000038080000}"/>
    <cellStyle name="Note 7 2 3 2" xfId="1936" xr:uid="{00000000-0005-0000-0000-000039080000}"/>
    <cellStyle name="Note 7 2 4" xfId="619" xr:uid="{00000000-0005-0000-0000-00003A080000}"/>
    <cellStyle name="Note 7 2 4 2" xfId="1670" xr:uid="{00000000-0005-0000-0000-00003B080000}"/>
    <cellStyle name="Note 7 2 5" xfId="1422" xr:uid="{00000000-0005-0000-0000-00003C080000}"/>
    <cellStyle name="Note 7 3" xfId="1032" xr:uid="{00000000-0005-0000-0000-00003D080000}"/>
    <cellStyle name="Note 7 3 2" xfId="2078" xr:uid="{00000000-0005-0000-0000-00003E080000}"/>
    <cellStyle name="Note 7 4" xfId="766" xr:uid="{00000000-0005-0000-0000-00003F080000}"/>
    <cellStyle name="Note 7 4 2" xfId="1812" xr:uid="{00000000-0005-0000-0000-000040080000}"/>
    <cellStyle name="Note 7 5" xfId="495" xr:uid="{00000000-0005-0000-0000-000041080000}"/>
    <cellStyle name="Note 7 5 2" xfId="1546" xr:uid="{00000000-0005-0000-0000-000042080000}"/>
    <cellStyle name="Note 7 6" xfId="1298" xr:uid="{00000000-0005-0000-0000-000043080000}"/>
    <cellStyle name="Note 8" xfId="633" xr:uid="{00000000-0005-0000-0000-000044080000}"/>
    <cellStyle name="Note 8 2" xfId="1170" xr:uid="{00000000-0005-0000-0000-000045080000}"/>
    <cellStyle name="Note 8 2 2" xfId="2216" xr:uid="{00000000-0005-0000-0000-000046080000}"/>
    <cellStyle name="Note 8 3" xfId="904" xr:uid="{00000000-0005-0000-0000-000047080000}"/>
    <cellStyle name="Note 8 3 2" xfId="1950" xr:uid="{00000000-0005-0000-0000-000048080000}"/>
    <cellStyle name="Note 8 4" xfId="1684" xr:uid="{00000000-0005-0000-0000-000049080000}"/>
    <cellStyle name="Output" xfId="209" builtinId="21" customBuiltin="1"/>
    <cellStyle name="Output 2" xfId="122" xr:uid="{00000000-0005-0000-0000-00004B080000}"/>
    <cellStyle name="Per cent" xfId="242" builtinId="5"/>
    <cellStyle name="Percent 2" xfId="16" xr:uid="{00000000-0005-0000-0000-00004D080000}"/>
    <cellStyle name="Percent 2 2" xfId="123" xr:uid="{00000000-0005-0000-0000-00004E080000}"/>
    <cellStyle name="Percent 2 3" xfId="244" xr:uid="{00000000-0005-0000-0000-00004F080000}"/>
    <cellStyle name="Percent 3" xfId="124" xr:uid="{00000000-0005-0000-0000-000050080000}"/>
    <cellStyle name="Percent 3 2" xfId="125" xr:uid="{00000000-0005-0000-0000-000051080000}"/>
    <cellStyle name="Percent 3 2 2" xfId="184" xr:uid="{00000000-0005-0000-0000-000052080000}"/>
    <cellStyle name="Percent 3 2 2 2" xfId="338" xr:uid="{00000000-0005-0000-0000-000053080000}"/>
    <cellStyle name="Percent 3 2 2 2 2" xfId="1123" xr:uid="{00000000-0005-0000-0000-000054080000}"/>
    <cellStyle name="Percent 3 2 2 2 2 2" xfId="2169" xr:uid="{00000000-0005-0000-0000-000055080000}"/>
    <cellStyle name="Percent 3 2 2 2 3" xfId="857" xr:uid="{00000000-0005-0000-0000-000056080000}"/>
    <cellStyle name="Percent 3 2 2 2 3 2" xfId="1903" xr:uid="{00000000-0005-0000-0000-000057080000}"/>
    <cellStyle name="Percent 3 2 2 2 4" xfId="586" xr:uid="{00000000-0005-0000-0000-000058080000}"/>
    <cellStyle name="Percent 3 2 2 2 4 2" xfId="1637" xr:uid="{00000000-0005-0000-0000-000059080000}"/>
    <cellStyle name="Percent 3 2 2 2 5" xfId="1389" xr:uid="{00000000-0005-0000-0000-00005A080000}"/>
    <cellStyle name="Percent 3 2 2 3" xfId="999" xr:uid="{00000000-0005-0000-0000-00005B080000}"/>
    <cellStyle name="Percent 3 2 2 3 2" xfId="2045" xr:uid="{00000000-0005-0000-0000-00005C080000}"/>
    <cellStyle name="Percent 3 2 2 4" xfId="733" xr:uid="{00000000-0005-0000-0000-00005D080000}"/>
    <cellStyle name="Percent 3 2 2 4 2" xfId="1779" xr:uid="{00000000-0005-0000-0000-00005E080000}"/>
    <cellStyle name="Percent 3 2 2 5" xfId="462" xr:uid="{00000000-0005-0000-0000-00005F080000}"/>
    <cellStyle name="Percent 3 2 2 5 2" xfId="1513" xr:uid="{00000000-0005-0000-0000-000060080000}"/>
    <cellStyle name="Percent 3 2 2 6" xfId="1265" xr:uid="{00000000-0005-0000-0000-000061080000}"/>
    <cellStyle name="Percent 3 2 3" xfId="291" xr:uid="{00000000-0005-0000-0000-000062080000}"/>
    <cellStyle name="Percent 3 2 3 2" xfId="1076" xr:uid="{00000000-0005-0000-0000-000063080000}"/>
    <cellStyle name="Percent 3 2 3 2 2" xfId="2122" xr:uid="{00000000-0005-0000-0000-000064080000}"/>
    <cellStyle name="Percent 3 2 3 3" xfId="810" xr:uid="{00000000-0005-0000-0000-000065080000}"/>
    <cellStyle name="Percent 3 2 3 3 2" xfId="1856" xr:uid="{00000000-0005-0000-0000-000066080000}"/>
    <cellStyle name="Percent 3 2 3 4" xfId="539" xr:uid="{00000000-0005-0000-0000-000067080000}"/>
    <cellStyle name="Percent 3 2 3 4 2" xfId="1590" xr:uid="{00000000-0005-0000-0000-000068080000}"/>
    <cellStyle name="Percent 3 2 3 5" xfId="1342" xr:uid="{00000000-0005-0000-0000-000069080000}"/>
    <cellStyle name="Percent 3 2 4" xfId="952" xr:uid="{00000000-0005-0000-0000-00006A080000}"/>
    <cellStyle name="Percent 3 2 4 2" xfId="1998" xr:uid="{00000000-0005-0000-0000-00006B080000}"/>
    <cellStyle name="Percent 3 2 5" xfId="686" xr:uid="{00000000-0005-0000-0000-00006C080000}"/>
    <cellStyle name="Percent 3 2 5 2" xfId="1732" xr:uid="{00000000-0005-0000-0000-00006D080000}"/>
    <cellStyle name="Percent 3 2 6" xfId="415" xr:uid="{00000000-0005-0000-0000-00006E080000}"/>
    <cellStyle name="Percent 3 2 6 2" xfId="1466" xr:uid="{00000000-0005-0000-0000-00006F080000}"/>
    <cellStyle name="Percent 3 2 7" xfId="1218" xr:uid="{00000000-0005-0000-0000-000070080000}"/>
    <cellStyle name="Percent 3 3" xfId="148" xr:uid="{00000000-0005-0000-0000-000071080000}"/>
    <cellStyle name="Percent 3 3 2" xfId="198" xr:uid="{00000000-0005-0000-0000-000072080000}"/>
    <cellStyle name="Percent 3 3 2 2" xfId="352" xr:uid="{00000000-0005-0000-0000-000073080000}"/>
    <cellStyle name="Percent 3 3 2 2 2" xfId="1137" xr:uid="{00000000-0005-0000-0000-000074080000}"/>
    <cellStyle name="Percent 3 3 2 2 2 2" xfId="2183" xr:uid="{00000000-0005-0000-0000-000075080000}"/>
    <cellStyle name="Percent 3 3 2 2 3" xfId="871" xr:uid="{00000000-0005-0000-0000-000076080000}"/>
    <cellStyle name="Percent 3 3 2 2 3 2" xfId="1917" xr:uid="{00000000-0005-0000-0000-000077080000}"/>
    <cellStyle name="Percent 3 3 2 2 4" xfId="600" xr:uid="{00000000-0005-0000-0000-000078080000}"/>
    <cellStyle name="Percent 3 3 2 2 4 2" xfId="1651" xr:uid="{00000000-0005-0000-0000-000079080000}"/>
    <cellStyle name="Percent 3 3 2 2 5" xfId="1403" xr:uid="{00000000-0005-0000-0000-00007A080000}"/>
    <cellStyle name="Percent 3 3 2 3" xfId="1013" xr:uid="{00000000-0005-0000-0000-00007B080000}"/>
    <cellStyle name="Percent 3 3 2 3 2" xfId="2059" xr:uid="{00000000-0005-0000-0000-00007C080000}"/>
    <cellStyle name="Percent 3 3 2 4" xfId="747" xr:uid="{00000000-0005-0000-0000-00007D080000}"/>
    <cellStyle name="Percent 3 3 2 4 2" xfId="1793" xr:uid="{00000000-0005-0000-0000-00007E080000}"/>
    <cellStyle name="Percent 3 3 2 5" xfId="476" xr:uid="{00000000-0005-0000-0000-00007F080000}"/>
    <cellStyle name="Percent 3 3 2 5 2" xfId="1527" xr:uid="{00000000-0005-0000-0000-000080080000}"/>
    <cellStyle name="Percent 3 3 2 6" xfId="1279" xr:uid="{00000000-0005-0000-0000-000081080000}"/>
    <cellStyle name="Percent 3 3 3" xfId="305" xr:uid="{00000000-0005-0000-0000-000082080000}"/>
    <cellStyle name="Percent 3 3 3 2" xfId="1090" xr:uid="{00000000-0005-0000-0000-000083080000}"/>
    <cellStyle name="Percent 3 3 3 2 2" xfId="2136" xr:uid="{00000000-0005-0000-0000-000084080000}"/>
    <cellStyle name="Percent 3 3 3 3" xfId="824" xr:uid="{00000000-0005-0000-0000-000085080000}"/>
    <cellStyle name="Percent 3 3 3 3 2" xfId="1870" xr:uid="{00000000-0005-0000-0000-000086080000}"/>
    <cellStyle name="Percent 3 3 3 4" xfId="553" xr:uid="{00000000-0005-0000-0000-000087080000}"/>
    <cellStyle name="Percent 3 3 3 4 2" xfId="1604" xr:uid="{00000000-0005-0000-0000-000088080000}"/>
    <cellStyle name="Percent 3 3 3 5" xfId="1356" xr:uid="{00000000-0005-0000-0000-000089080000}"/>
    <cellStyle name="Percent 3 3 4" xfId="966" xr:uid="{00000000-0005-0000-0000-00008A080000}"/>
    <cellStyle name="Percent 3 3 4 2" xfId="2012" xr:uid="{00000000-0005-0000-0000-00008B080000}"/>
    <cellStyle name="Percent 3 3 5" xfId="700" xr:uid="{00000000-0005-0000-0000-00008C080000}"/>
    <cellStyle name="Percent 3 3 5 2" xfId="1746" xr:uid="{00000000-0005-0000-0000-00008D080000}"/>
    <cellStyle name="Percent 3 3 6" xfId="429" xr:uid="{00000000-0005-0000-0000-00008E080000}"/>
    <cellStyle name="Percent 3 3 6 2" xfId="1480" xr:uid="{00000000-0005-0000-0000-00008F080000}"/>
    <cellStyle name="Percent 3 3 7" xfId="1232" xr:uid="{00000000-0005-0000-0000-000090080000}"/>
    <cellStyle name="Percent 4" xfId="126" xr:uid="{00000000-0005-0000-0000-000091080000}"/>
    <cellStyle name="Percent 5" xfId="127" xr:uid="{00000000-0005-0000-0000-000092080000}"/>
    <cellStyle name="Percent 5 2" xfId="185" xr:uid="{00000000-0005-0000-0000-000093080000}"/>
    <cellStyle name="Percent 5 2 2" xfId="339" xr:uid="{00000000-0005-0000-0000-000094080000}"/>
    <cellStyle name="Percent 5 2 2 2" xfId="1124" xr:uid="{00000000-0005-0000-0000-000095080000}"/>
    <cellStyle name="Percent 5 2 2 2 2" xfId="2170" xr:uid="{00000000-0005-0000-0000-000096080000}"/>
    <cellStyle name="Percent 5 2 2 3" xfId="858" xr:uid="{00000000-0005-0000-0000-000097080000}"/>
    <cellStyle name="Percent 5 2 2 3 2" xfId="1904" xr:uid="{00000000-0005-0000-0000-000098080000}"/>
    <cellStyle name="Percent 5 2 2 4" xfId="587" xr:uid="{00000000-0005-0000-0000-000099080000}"/>
    <cellStyle name="Percent 5 2 2 4 2" xfId="1638" xr:uid="{00000000-0005-0000-0000-00009A080000}"/>
    <cellStyle name="Percent 5 2 2 5" xfId="1390" xr:uid="{00000000-0005-0000-0000-00009B080000}"/>
    <cellStyle name="Percent 5 2 3" xfId="1000" xr:uid="{00000000-0005-0000-0000-00009C080000}"/>
    <cellStyle name="Percent 5 2 3 2" xfId="2046" xr:uid="{00000000-0005-0000-0000-00009D080000}"/>
    <cellStyle name="Percent 5 2 4" xfId="734" xr:uid="{00000000-0005-0000-0000-00009E080000}"/>
    <cellStyle name="Percent 5 2 4 2" xfId="1780" xr:uid="{00000000-0005-0000-0000-00009F080000}"/>
    <cellStyle name="Percent 5 2 5" xfId="463" xr:uid="{00000000-0005-0000-0000-0000A0080000}"/>
    <cellStyle name="Percent 5 2 5 2" xfId="1514" xr:uid="{00000000-0005-0000-0000-0000A1080000}"/>
    <cellStyle name="Percent 5 2 6" xfId="1266" xr:uid="{00000000-0005-0000-0000-0000A2080000}"/>
    <cellStyle name="Percent 5 3" xfId="292" xr:uid="{00000000-0005-0000-0000-0000A3080000}"/>
    <cellStyle name="Percent 5 3 2" xfId="1077" xr:uid="{00000000-0005-0000-0000-0000A4080000}"/>
    <cellStyle name="Percent 5 3 2 2" xfId="2123" xr:uid="{00000000-0005-0000-0000-0000A5080000}"/>
    <cellStyle name="Percent 5 3 3" xfId="811" xr:uid="{00000000-0005-0000-0000-0000A6080000}"/>
    <cellStyle name="Percent 5 3 3 2" xfId="1857" xr:uid="{00000000-0005-0000-0000-0000A7080000}"/>
    <cellStyle name="Percent 5 3 4" xfId="540" xr:uid="{00000000-0005-0000-0000-0000A8080000}"/>
    <cellStyle name="Percent 5 3 4 2" xfId="1591" xr:uid="{00000000-0005-0000-0000-0000A9080000}"/>
    <cellStyle name="Percent 5 3 5" xfId="1343" xr:uid="{00000000-0005-0000-0000-0000AA080000}"/>
    <cellStyle name="Percent 5 4" xfId="953" xr:uid="{00000000-0005-0000-0000-0000AB080000}"/>
    <cellStyle name="Percent 5 4 2" xfId="1999" xr:uid="{00000000-0005-0000-0000-0000AC080000}"/>
    <cellStyle name="Percent 5 5" xfId="687" xr:uid="{00000000-0005-0000-0000-0000AD080000}"/>
    <cellStyle name="Percent 5 5 2" xfId="1733" xr:uid="{00000000-0005-0000-0000-0000AE080000}"/>
    <cellStyle name="Percent 5 6" xfId="416" xr:uid="{00000000-0005-0000-0000-0000AF080000}"/>
    <cellStyle name="Percent 5 6 2" xfId="1467" xr:uid="{00000000-0005-0000-0000-0000B0080000}"/>
    <cellStyle name="Percent 5 7" xfId="1219" xr:uid="{00000000-0005-0000-0000-0000B1080000}"/>
    <cellStyle name="Percent 6" xfId="651" xr:uid="{00000000-0005-0000-0000-0000B2080000}"/>
    <cellStyle name="Percent 6 2" xfId="1185" xr:uid="{00000000-0005-0000-0000-0000B3080000}"/>
    <cellStyle name="Percent 6 2 2" xfId="2231" xr:uid="{00000000-0005-0000-0000-0000B4080000}"/>
    <cellStyle name="Percent 6 3" xfId="919" xr:uid="{00000000-0005-0000-0000-0000B5080000}"/>
    <cellStyle name="Percent 6 3 2" xfId="1965" xr:uid="{00000000-0005-0000-0000-0000B6080000}"/>
    <cellStyle name="Percent 6 4" xfId="1699" xr:uid="{00000000-0005-0000-0000-0000B7080000}"/>
    <cellStyle name="Style 1" xfId="128" xr:uid="{00000000-0005-0000-0000-0000B8080000}"/>
    <cellStyle name="Style 1 2" xfId="649" xr:uid="{00000000-0005-0000-0000-0000B9080000}"/>
    <cellStyle name="Title" xfId="200" builtinId="15" customBuiltin="1"/>
    <cellStyle name="Title 2" xfId="129" xr:uid="{00000000-0005-0000-0000-0000BB080000}"/>
    <cellStyle name="Total" xfId="215" builtinId="25" customBuiltin="1"/>
    <cellStyle name="Total 2" xfId="130" xr:uid="{00000000-0005-0000-0000-0000BD080000}"/>
    <cellStyle name="Warning Text" xfId="213" builtinId="11" customBuiltin="1"/>
    <cellStyle name="Warning Text 2" xfId="131" xr:uid="{00000000-0005-0000-0000-0000BF080000}"/>
  </cellStyles>
  <dxfs count="115">
    <dxf>
      <font>
        <b/>
        <strike val="0"/>
        <outline val="0"/>
        <shadow val="0"/>
        <u val="none"/>
        <vertAlign val="baseline"/>
        <sz val="10"/>
        <color theme="0"/>
        <name val="Arial"/>
        <family val="2"/>
        <scheme val="minor"/>
      </font>
      <numFmt numFmtId="0" formatCode="General"/>
      <fill>
        <patternFill patternType="solid">
          <fgColor indexed="64"/>
          <bgColor theme="5"/>
        </patternFill>
      </fill>
    </dxf>
    <dxf>
      <font>
        <b/>
        <i val="0"/>
        <strike val="0"/>
        <condense val="0"/>
        <extend val="0"/>
        <outline val="0"/>
        <shadow val="0"/>
        <u val="none"/>
        <vertAlign val="baseline"/>
        <sz val="10"/>
        <color theme="0"/>
        <name val="Arial"/>
        <family val="2"/>
        <scheme val="minor"/>
      </font>
      <numFmt numFmtId="14" formatCode="0.00%"/>
      <fill>
        <patternFill patternType="solid">
          <fgColor indexed="64"/>
          <bgColor theme="5"/>
        </patternFill>
      </fill>
      <alignment horizontal="right" vertical="bottom" textRotation="0" wrapText="0" indent="0" justifyLastLine="0" shrinkToFit="0" readingOrder="0"/>
    </dxf>
    <dxf>
      <font>
        <b/>
        <strike val="0"/>
        <outline val="0"/>
        <shadow val="0"/>
        <u val="none"/>
        <vertAlign val="baseline"/>
        <sz val="10"/>
        <color theme="0"/>
        <name val="Arial"/>
        <family val="2"/>
        <scheme val="minor"/>
      </font>
      <numFmt numFmtId="0" formatCode="General"/>
      <fill>
        <patternFill patternType="solid">
          <fgColor indexed="64"/>
          <bgColor theme="5"/>
        </patternFill>
      </fill>
      <alignment horizontal="right" vertical="bottom" textRotation="0" wrapText="0" indent="0" justifyLastLine="0" shrinkToFit="0" readingOrder="0"/>
    </dxf>
    <dxf>
      <fill>
        <patternFill>
          <fgColor indexed="64"/>
          <bgColor theme="0"/>
        </patternFill>
      </fill>
      <protection locked="0" hidden="0"/>
    </dxf>
    <dxf>
      <protection locked="0" hidden="0"/>
    </dxf>
    <dxf>
      <protection locked="0" hidden="0"/>
    </dxf>
    <dxf>
      <protection locked="0" hidden="0"/>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76" formatCode="d/mm/yyyy"/>
      <protection locked="0" hidden="0"/>
    </dxf>
    <dxf>
      <numFmt numFmtId="176" formatCode="d/mm/yyyy"/>
      <protection locked="1" hidden="0"/>
    </dxf>
    <dxf>
      <protection locked="0" hidden="0"/>
    </dxf>
    <dxf>
      <numFmt numFmtId="0" formatCode="General"/>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righ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font>
        <b val="0"/>
        <i val="0"/>
        <strike val="0"/>
        <condense val="0"/>
        <extend val="0"/>
        <outline val="0"/>
        <shadow val="0"/>
        <u val="none"/>
        <vertAlign val="baseline"/>
        <sz val="8"/>
        <color theme="0"/>
        <name val="Arial"/>
        <family val="2"/>
        <scheme val="minor"/>
      </font>
      <fill>
        <patternFill patternType="solid">
          <fgColor indexed="64"/>
          <bgColor theme="3"/>
        </patternFill>
      </fill>
      <alignment horizontal="left" vertical="top" textRotation="0" wrapText="1" indent="0" justifyLastLine="0" shrinkToFit="0" readingOrder="0"/>
    </dxf>
    <dxf>
      <alignment horizontal="general"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0" readingOrder="0"/>
    </dxf>
    <dxf>
      <alignment horizontal="general" vertical="center" textRotation="0" wrapText="0" indent="0" justifyLastLine="0" shrinkToFit="0" readingOrder="0"/>
    </dxf>
    <dxf>
      <font>
        <b val="0"/>
        <strike val="0"/>
        <outline val="0"/>
        <shadow val="0"/>
        <u val="none"/>
        <vertAlign val="baseline"/>
        <sz val="10"/>
        <color theme="8"/>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font>
        <b val="0"/>
        <strike val="0"/>
        <outline val="0"/>
        <shadow val="0"/>
        <u val="none"/>
        <vertAlign val="baseline"/>
        <sz val="10"/>
        <color theme="8"/>
        <name val="Arial"/>
        <family val="2"/>
        <scheme val="minor"/>
      </font>
      <numFmt numFmtId="14" formatCode="0.00%"/>
      <fill>
        <patternFill patternType="solid">
          <fgColor indexed="64"/>
          <bgColor theme="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4" formatCode="0.0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4" formatCode="0.0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0"/>
        <color theme="8"/>
        <name val="Arial"/>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0"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0"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fill>
        <patternFill patternType="solid">
          <fgColor indexed="64"/>
          <bgColor theme="9" tint="0.59999389629810485"/>
        </patternFill>
      </fill>
      <alignment horizontal="center" vertical="center" textRotation="0" wrapText="1" indent="0" justifyLastLine="0" shrinkToFit="0" readingOrder="0"/>
      <protection locked="1" hidden="1"/>
    </dxf>
    <dxf>
      <numFmt numFmtId="0" formatCode="General"/>
      <fill>
        <patternFill patternType="solid">
          <fgColor indexed="64"/>
          <bgColor theme="9" tint="0.59999389629810485"/>
        </patternFill>
      </fill>
      <alignment horizontal="center" vertical="center" textRotation="0" wrapText="1"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1"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3"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4" formatCode="0.0000"/>
      <fill>
        <patternFill patternType="solid">
          <fgColor indexed="64"/>
          <bgColor theme="9" tint="0.59999389629810485"/>
        </patternFill>
      </fill>
      <alignment horizontal="center" vertical="center" textRotation="0" wrapText="0" indent="0" justifyLastLine="0" shrinkToFit="0" readingOrder="0"/>
      <protection locked="1" hidden="1"/>
    </dxf>
    <dxf>
      <font>
        <strike val="0"/>
        <outline val="0"/>
        <shadow val="0"/>
        <u val="none"/>
        <vertAlign val="baseline"/>
        <sz val="10"/>
        <color auto="1"/>
        <name val="Arial"/>
        <family val="2"/>
        <scheme val="minor"/>
      </font>
      <numFmt numFmtId="0" formatCode="General"/>
      <fill>
        <patternFill patternType="solid">
          <fgColor indexed="64"/>
          <bgColor theme="9" tint="0.59999389629810485"/>
        </patternFill>
      </fill>
      <alignment horizontal="center" vertical="center" textRotation="0" wrapText="0" indent="0" justifyLastLine="0" shrinkToFit="0" readingOrder="0"/>
      <protection locked="1" hidden="1"/>
    </dxf>
    <dxf>
      <numFmt numFmtId="3" formatCode="#,##0"/>
      <alignment horizontal="center" vertical="center" textRotation="0" wrapText="0" indent="0" justifyLastLine="0" shrinkToFit="0" readingOrder="0"/>
      <protection locked="0" hidden="0"/>
    </dxf>
    <dxf>
      <numFmt numFmtId="1" formatCode="0"/>
      <fill>
        <patternFill patternType="solid">
          <fgColor indexed="64"/>
          <bgColor theme="9" tint="0.59999389629810485"/>
        </patternFill>
      </fill>
      <alignment horizontal="center" vertical="center" textRotation="0" wrapText="0" indent="0" justifyLastLine="0" shrinkToFit="0" readingOrder="0"/>
      <protection locked="1" hidden="1"/>
    </dxf>
    <dxf>
      <numFmt numFmtId="173" formatCode="d/mm/yyyy;@"/>
      <fill>
        <patternFill patternType="solid">
          <fgColor indexed="64"/>
          <bgColor theme="9" tint="0.59999389629810485"/>
        </patternFill>
      </fill>
      <alignment horizontal="center" vertical="center" textRotation="0" wrapText="0" indent="0" justifyLastLine="0" shrinkToFit="0" readingOrder="0"/>
      <protection locked="0" hidden="0"/>
    </dxf>
    <dxf>
      <numFmt numFmtId="173" formatCode="d/mm/yyyy;@"/>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numFmt numFmtId="0" formatCode="General"/>
      <fill>
        <patternFill patternType="solid">
          <fgColor indexed="64"/>
          <bgColor theme="9" tint="0.59996337778862885"/>
        </patternFill>
      </fill>
      <alignment horizontal="center" vertical="center" textRotation="0" wrapText="0" indent="0" justifyLastLine="0" shrinkToFit="0" readingOrder="0"/>
      <protection locked="1" hidden="1"/>
    </dxf>
    <dxf>
      <numFmt numFmtId="0" formatCode="General"/>
      <fill>
        <patternFill patternType="solid">
          <fgColor indexed="64"/>
          <bgColor theme="9" tint="0.59996337778862885"/>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fill>
        <patternFill patternType="solid">
          <fgColor indexed="64"/>
          <bgColor theme="0" tint="-0.14996795556505021"/>
        </patternFill>
      </fill>
      <alignment horizontal="center" vertical="center" textRotation="0" wrapText="0" indent="0" justifyLastLine="0" shrinkToFit="0" readingOrder="0"/>
      <protection locked="1" hidden="1"/>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numFmt numFmtId="0" formatCode="General"/>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protection locked="0" hidden="0"/>
    </dxf>
    <dxf>
      <alignment horizontal="center" vertical="center" textRotation="0" wrapText="0" indent="0" justifyLastLine="0" shrinkToFit="0" readingOrder="0"/>
    </dxf>
    <dxf>
      <font>
        <b val="0"/>
        <i val="0"/>
        <strike val="0"/>
        <condense val="0"/>
        <extend val="0"/>
        <outline val="0"/>
        <shadow val="0"/>
        <u val="none"/>
        <vertAlign val="baseline"/>
        <sz val="7"/>
        <color theme="0"/>
        <name val="Arial"/>
        <family val="2"/>
        <scheme val="minor"/>
      </font>
      <fill>
        <patternFill patternType="solid">
          <fgColor indexed="64"/>
          <bgColor theme="3"/>
        </patternFill>
      </fill>
      <alignment horizontal="center" vertical="top" textRotation="0" wrapText="1" indent="0" justifyLastLine="0" shrinkToFit="0" readingOrder="0"/>
    </dxf>
    <dxf>
      <font>
        <color theme="0"/>
      </font>
      <fill>
        <patternFill>
          <bgColor theme="9" tint="0.59996337778862885"/>
        </patternFill>
      </fill>
    </dxf>
    <dxf>
      <font>
        <color theme="0"/>
      </font>
    </dxf>
    <dxf>
      <fill>
        <patternFill>
          <bgColor theme="5" tint="0.59996337778862885"/>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ill>
        <patternFill>
          <bgColor theme="5" tint="0.59996337778862885"/>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ont>
        <color rgb="FFFF0000"/>
      </font>
    </dxf>
    <dxf>
      <font>
        <color rgb="FFFF0000"/>
      </font>
    </dxf>
    <dxf>
      <font>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s>
  <tableStyles count="0" defaultTableStyle="TableStyleMedium9" defaultPivotStyle="PivotStyleLight16"/>
  <colors>
    <mruColors>
      <color rgb="FFFF505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19</xdr:col>
      <xdr:colOff>0</xdr:colOff>
      <xdr:row>42</xdr:row>
      <xdr:rowOff>57150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2390775"/>
          <a:ext cx="11582400" cy="6210300"/>
        </a:xfrm>
        <a:prstGeom prst="rect">
          <a:avLst/>
        </a:prstGeom>
        <a:solidFill>
          <a:srgbClr val="FF5050"/>
        </a:solidFill>
        <a:ln w="9525" cmpd="sng">
          <a:solidFill>
            <a:schemeClr val="tx1">
              <a:lumMod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000">
              <a:solidFill>
                <a:schemeClr val="dk1"/>
              </a:solidFill>
              <a:effectLst/>
              <a:latin typeface="+mn-lt"/>
              <a:ea typeface="+mn-ea"/>
              <a:cs typeface="+mn-cs"/>
            </a:rPr>
            <a:t>The Green Star environmental rating system for buildings (“Green Star”) and the Green Star – Performance rating tool (“Green Star – Performance") have been developed by the Green Building Council of Australia (“GBCA”). Green Star – Performance evaluates the operational performance of all types of existing buildings (with the exception of single detached dwellings). It is intended for use by stakeholders including project team members as a guide for sustainable existing building operations. As with all Green Star rating tools, Green Star – Performance may be subject to further development in the future.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Government’s National Carbon Offset Standard for Buildings (the standard) was developed by the Department of the Environment and Energy with input from GBCA and the National Australian Built Environment Rating Scheme Administrator. It provides a credible framework for managing emissions and achieving carbon neutrality. The standard has been designed to accommodate a wide variety of building types in Australia. The standard may be subject to further development in the future. The standard is a process document only and not to be relied upon to assert any legal or contractual relationship with the Australian Government.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 has registered the National Carbon Offset Standard Certification Trade Mark with IP Australia and the Australian Competition and Consumer Commission. All right, title and interest in the National Carbon Offset Standard Certification Trade Mark vest in the Australian Government. The National Carbon Offset Standard Certification Trade Mark is only available to buildings that are certified by approved certifiers (including GBCA) and have an agreement in place with a certifier.</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have been developed with the assistance and participation of representatives from many organisations. The GBCA authorises you to view and use Green Star – Performance for your individual use only. In exchange for this authorisation, you agree that the GBCA retains all copyright and other proprietary rights contained in and in relation to Green Star – Performance and agree not to sell, modify, or use for another purpose all or any part of the tool or to reproduce, display or distribute the tool in any way for any public or commercial purpose, including display on a website or in a networked environment. Unauthorised use of Green Star, Green Star – Performance, and/or the National Carbon Offset Standard Certification Trade Mark will violate copyright and other laws, and is prohibited. All text, graphics, layout and other elements of content contained in Green Star and its rating tools are owned by the GBCA and are protected by copyright, trade mark and other laws.</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To the maximum extent permitted by law, the GBCA does not accept responsibility, including without limitation for negligence, for any inaccuracy within Green Star and/or its rating tools and makes no warranty, expressed or implied, including the warranties of merchantability and fitness for a particular purpose, nor assumes any legal liability or responsibility to you or any third parties for the accuracy, completeness, or use of, or reliance on, any information contained in Green Star and/or Green Star – Performance , or for any injuries, losses or damages (including, without limitation, equitable relief and economic loss) arising out of such use or reliance.</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are no substitute for professional advice. You should seek your own professional and other appropriate advice on the matters addressed by them.</a:t>
          </a:r>
        </a:p>
        <a:p>
          <a:r>
            <a:rPr lang="en-AU" sz="1000">
              <a:solidFill>
                <a:schemeClr val="dk1"/>
              </a:solidFill>
              <a:effectLst/>
              <a:latin typeface="+mn-lt"/>
              <a:ea typeface="+mn-ea"/>
              <a:cs typeface="+mn-cs"/>
            </a:rPr>
            <a:t>As a condition of use, you covenant not to sue, and agree to waive and release:</a:t>
          </a:r>
        </a:p>
        <a:p>
          <a:pPr marL="171450" lvl="0" indent="-171450">
            <a:buFont typeface="Arial" panose="020B0604020202020204" pitchFamily="34" charset="0"/>
            <a:buChar char="•"/>
          </a:pPr>
          <a:r>
            <a:rPr lang="en-AU" sz="1000">
              <a:solidFill>
                <a:schemeClr val="dk1"/>
              </a:solidFill>
              <a:effectLst/>
              <a:latin typeface="+mn-lt"/>
              <a:ea typeface="+mn-ea"/>
              <a:cs typeface="+mn-cs"/>
            </a:rPr>
            <a:t>the GBCA, its officers, agents, employees and its members; and</a:t>
          </a:r>
        </a:p>
        <a:p>
          <a:pPr marL="171450" lvl="0" indent="-171450">
            <a:buFont typeface="Arial" panose="020B0604020202020204" pitchFamily="34" charset="0"/>
            <a:buChar char="•"/>
          </a:pPr>
          <a:r>
            <a:rPr lang="en-AU" sz="1000">
              <a:solidFill>
                <a:schemeClr val="dk1"/>
              </a:solidFill>
              <a:effectLst/>
              <a:latin typeface="+mn-lt"/>
              <a:ea typeface="+mn-ea"/>
              <a:cs typeface="+mn-cs"/>
            </a:rPr>
            <a:t>the Commonwealth of Australia</a:t>
          </a:r>
        </a:p>
        <a:p>
          <a:r>
            <a:rPr lang="en-AU" sz="1000">
              <a:solidFill>
                <a:schemeClr val="dk1"/>
              </a:solidFill>
              <a:effectLst/>
              <a:latin typeface="+mn-lt"/>
              <a:ea typeface="+mn-ea"/>
              <a:cs typeface="+mn-cs"/>
            </a:rPr>
            <a:t>from any and all claims, demands and causes of action for any injury, loss, destruction or damage (including, without limitation, equitable relief and economic loss) that you may now or hereafter have a right to assert against such parties as a result of your use of, or reliance on, Green Star, Green Star – Performance and/or the standard.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GBCA does not endorse any self-assessed Green Star rating achieved by the use of Green Star – Performance. The GBCA offers a formal certification process for 1 Star to 6 Star ratings; this service provides for independent third party review of points claimed to ensure all points can be demonstrated to be achieved by the provision of the necessary documentary evidence. The use of Green Star – Performance without formal certification by the GBCA does not entitle the user or any other party to promote the Green Star rating achieved.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application of Green Star – Performance to the operational performance of all types of existing buildings (with the exception of single detached dwellings) is encouraged to assess and improve their environmental performance attributes. However, formal recognition of the Green Star rating – and the right to promote same – requires undertaking the formal certification process offered by the GBCA.</a:t>
          </a:r>
        </a:p>
        <a:p>
          <a:r>
            <a:rPr lang="en-AU" sz="1000">
              <a:solidFill>
                <a:schemeClr val="dk1"/>
              </a:solidFill>
              <a:effectLst/>
              <a:latin typeface="+mn-lt"/>
              <a:ea typeface="+mn-ea"/>
              <a:cs typeface="+mn-cs"/>
            </a:rPr>
            <a:t>You are only authorised to proceed to use Green Star and Green Star – Performance on this basis.</a:t>
          </a:r>
        </a:p>
        <a:p>
          <a:r>
            <a:rPr lang="en-AU" sz="1000">
              <a:solidFill>
                <a:schemeClr val="dk1"/>
              </a:solidFill>
              <a:effectLst/>
              <a:latin typeface="+mn-lt"/>
              <a:ea typeface="+mn-ea"/>
              <a:cs typeface="+mn-cs"/>
            </a:rPr>
            <a:t>All rights reserved.</a:t>
          </a:r>
        </a:p>
      </xdr:txBody>
    </xdr:sp>
    <xdr:clientData/>
  </xdr:twoCellAnchor>
  <xdr:twoCellAnchor editAs="oneCell">
    <xdr:from>
      <xdr:col>0</xdr:col>
      <xdr:colOff>0</xdr:colOff>
      <xdr:row>0</xdr:row>
      <xdr:rowOff>0</xdr:rowOff>
    </xdr:from>
    <xdr:to>
      <xdr:col>12</xdr:col>
      <xdr:colOff>0</xdr:colOff>
      <xdr:row>11</xdr:row>
      <xdr:rowOff>44450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315200" cy="1828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121920</xdr:colOff>
      <xdr:row>0</xdr:row>
      <xdr:rowOff>0</xdr:rowOff>
    </xdr:from>
    <xdr:to>
      <xdr:col>6</xdr:col>
      <xdr:colOff>133350</xdr:colOff>
      <xdr:row>6</xdr:row>
      <xdr:rowOff>38354</xdr:rowOff>
    </xdr:to>
    <xdr:pic>
      <xdr:nvPicPr>
        <xdr:cNvPr id="4" name="Picture 3" descr="Rating-tool-header_No-name_revised.jpg">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stretch>
          <a:fillRect/>
        </a:stretch>
      </xdr:blipFill>
      <xdr:spPr>
        <a:xfrm>
          <a:off x="121920" y="0"/>
          <a:ext cx="7551420" cy="1067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9526</xdr:rowOff>
    </xdr:from>
    <xdr:to>
      <xdr:col>8</xdr:col>
      <xdr:colOff>436183</xdr:colOff>
      <xdr:row>2</xdr:row>
      <xdr:rowOff>268848</xdr:rowOff>
    </xdr:to>
    <xdr:pic>
      <xdr:nvPicPr>
        <xdr:cNvPr id="2" name="Picture 1" descr="Rating-tool-header_No-name_revised.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9526"/>
          <a:ext cx="9180133" cy="1333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2095500" cy="1060704"/>
    <xdr:pic>
      <xdr:nvPicPr>
        <xdr:cNvPr id="2" name="Picture 1" descr="Rating-tool-header_No-name_revised.jpg">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cstate="print"/>
        <a:srcRect r="71354"/>
        <a:stretch/>
      </xdr:blipFill>
      <xdr:spPr>
        <a:xfrm>
          <a:off x="285750" y="0"/>
          <a:ext cx="2095500" cy="1060704"/>
        </a:xfrm>
        <a:prstGeom prst="rect">
          <a:avLst/>
        </a:prstGeom>
      </xdr:spPr>
    </xdr:pic>
    <xdr:clientData/>
  </xdr:oneCellAnchor>
  <xdr:oneCellAnchor>
    <xdr:from>
      <xdr:col>2</xdr:col>
      <xdr:colOff>2409825</xdr:colOff>
      <xdr:row>0</xdr:row>
      <xdr:rowOff>9525</xdr:rowOff>
    </xdr:from>
    <xdr:ext cx="4953000" cy="1060704"/>
    <xdr:pic>
      <xdr:nvPicPr>
        <xdr:cNvPr id="4" name="Picture 3" descr="Rating-tool-header_No-name_revised.jpg">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srcRect l="32292"/>
        <a:stretch/>
      </xdr:blipFill>
      <xdr:spPr>
        <a:xfrm>
          <a:off x="4838700" y="9525"/>
          <a:ext cx="4953000" cy="106070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2877919</xdr:colOff>
      <xdr:row>1</xdr:row>
      <xdr:rowOff>8191</xdr:rowOff>
    </xdr:to>
    <xdr:pic>
      <xdr:nvPicPr>
        <xdr:cNvPr id="2" name="Picture 1" descr="Rating-tool-header_No-name_revised.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2894012</xdr:colOff>
      <xdr:row>1</xdr:row>
      <xdr:rowOff>9779</xdr:rowOff>
    </xdr:to>
    <xdr:pic>
      <xdr:nvPicPr>
        <xdr:cNvPr id="2" name="Picture 1" descr="Rating-tool-header_No-name_revi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381000" y="0"/>
          <a:ext cx="7315200" cy="10607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xdr:colOff>
      <xdr:row>1</xdr:row>
      <xdr:rowOff>9525</xdr:rowOff>
    </xdr:from>
    <xdr:to>
      <xdr:col>2</xdr:col>
      <xdr:colOff>1123950</xdr:colOff>
      <xdr:row>1</xdr:row>
      <xdr:rowOff>1120392</xdr:rowOff>
    </xdr:to>
    <xdr:pic>
      <xdr:nvPicPr>
        <xdr:cNvPr id="2" name="Picture 1" descr="Rating-tool-header_No-name_revised.jpg">
          <a:extLst>
            <a:ext uri="{FF2B5EF4-FFF2-40B4-BE49-F238E27FC236}">
              <a16:creationId xmlns:a16="http://schemas.microsoft.com/office/drawing/2014/main" id="{1F7D8EDD-076B-4DD2-9905-51EA5A7F4FC1}"/>
            </a:ext>
          </a:extLst>
        </xdr:cNvPr>
        <xdr:cNvPicPr>
          <a:picLocks noChangeAspect="1"/>
        </xdr:cNvPicPr>
      </xdr:nvPicPr>
      <xdr:blipFill rotWithShape="1">
        <a:blip xmlns:r="http://schemas.openxmlformats.org/officeDocument/2006/relationships" r:embed="rId1" cstate="print"/>
        <a:srcRect r="70703"/>
        <a:stretch/>
      </xdr:blipFill>
      <xdr:spPr>
        <a:xfrm>
          <a:off x="6350" y="1235075"/>
          <a:ext cx="2260600" cy="1108327"/>
        </a:xfrm>
        <a:prstGeom prst="rect">
          <a:avLst/>
        </a:prstGeom>
      </xdr:spPr>
    </xdr:pic>
    <xdr:clientData/>
  </xdr:twoCellAnchor>
  <xdr:twoCellAnchor editAs="oneCell">
    <xdr:from>
      <xdr:col>2</xdr:col>
      <xdr:colOff>1228725</xdr:colOff>
      <xdr:row>1</xdr:row>
      <xdr:rowOff>9525</xdr:rowOff>
    </xdr:from>
    <xdr:to>
      <xdr:col>6</xdr:col>
      <xdr:colOff>438800</xdr:colOff>
      <xdr:row>1</xdr:row>
      <xdr:rowOff>1120392</xdr:rowOff>
    </xdr:to>
    <xdr:pic>
      <xdr:nvPicPr>
        <xdr:cNvPr id="3" name="Picture 2" descr="Rating-tool-header_No-name_revised.jpg">
          <a:extLst>
            <a:ext uri="{FF2B5EF4-FFF2-40B4-BE49-F238E27FC236}">
              <a16:creationId xmlns:a16="http://schemas.microsoft.com/office/drawing/2014/main" id="{B8FA5BAE-8DB5-4F5F-806C-DEC68A025E8F}"/>
            </a:ext>
          </a:extLst>
        </xdr:cNvPr>
        <xdr:cNvPicPr>
          <a:picLocks noChangeAspect="1"/>
        </xdr:cNvPicPr>
      </xdr:nvPicPr>
      <xdr:blipFill rotWithShape="1">
        <a:blip xmlns:r="http://schemas.openxmlformats.org/officeDocument/2006/relationships" r:embed="rId1" cstate="print"/>
        <a:srcRect l="32813"/>
        <a:stretch/>
      </xdr:blipFill>
      <xdr:spPr>
        <a:xfrm>
          <a:off x="2463800" y="1235075"/>
          <a:ext cx="5249861" cy="110832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2188596</xdr:colOff>
      <xdr:row>4</xdr:row>
      <xdr:rowOff>159004</xdr:rowOff>
    </xdr:to>
    <xdr:pic>
      <xdr:nvPicPr>
        <xdr:cNvPr id="2" name="Picture 1" descr="Rating-tool-header_No-name_revised.jpg">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print"/>
        <a:srcRect r="70215"/>
        <a:stretch/>
      </xdr:blipFill>
      <xdr:spPr>
        <a:xfrm>
          <a:off x="381000" y="0"/>
          <a:ext cx="2178844" cy="1060704"/>
        </a:xfrm>
        <a:prstGeom prst="rect">
          <a:avLst/>
        </a:prstGeom>
      </xdr:spPr>
    </xdr:pic>
    <xdr:clientData/>
  </xdr:twoCellAnchor>
  <xdr:twoCellAnchor editAs="oneCell">
    <xdr:from>
      <xdr:col>8</xdr:col>
      <xdr:colOff>1204230</xdr:colOff>
      <xdr:row>0</xdr:row>
      <xdr:rowOff>0</xdr:rowOff>
    </xdr:from>
    <xdr:to>
      <xdr:col>10</xdr:col>
      <xdr:colOff>3047999</xdr:colOff>
      <xdr:row>4</xdr:row>
      <xdr:rowOff>159004</xdr:rowOff>
    </xdr:to>
    <xdr:pic>
      <xdr:nvPicPr>
        <xdr:cNvPr id="3" name="Picture 2" descr="Rating-tool-header_No-name_revised.jpg">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1" cstate="print"/>
        <a:srcRect l="32292"/>
        <a:stretch/>
      </xdr:blipFill>
      <xdr:spPr>
        <a:xfrm>
          <a:off x="14974659" y="0"/>
          <a:ext cx="4918983" cy="1060704"/>
        </a:xfrm>
        <a:prstGeom prst="rect">
          <a:avLst/>
        </a:prstGeom>
      </xdr:spPr>
    </xdr:pic>
    <xdr:clientData/>
  </xdr:twoCellAnchor>
  <xdr:twoCellAnchor editAs="oneCell">
    <xdr:from>
      <xdr:col>1</xdr:col>
      <xdr:colOff>2533650</xdr:colOff>
      <xdr:row>0</xdr:row>
      <xdr:rowOff>200025</xdr:rowOff>
    </xdr:from>
    <xdr:to>
      <xdr:col>2</xdr:col>
      <xdr:colOff>995175</xdr:colOff>
      <xdr:row>2</xdr:row>
      <xdr:rowOff>347092</xdr:rowOff>
    </xdr:to>
    <xdr:pic>
      <xdr:nvPicPr>
        <xdr:cNvPr id="4" name="Picture 3">
          <a:extLst>
            <a:ext uri="{FF2B5EF4-FFF2-40B4-BE49-F238E27FC236}">
              <a16:creationId xmlns:a16="http://schemas.microsoft.com/office/drawing/2014/main" id="{01E5B415-AE4C-457B-B16E-E525DD9958A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4650" y="200025"/>
          <a:ext cx="1338075" cy="5090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xdr:colOff>
      <xdr:row>1</xdr:row>
      <xdr:rowOff>9525</xdr:rowOff>
    </xdr:from>
    <xdr:to>
      <xdr:col>2</xdr:col>
      <xdr:colOff>1123950</xdr:colOff>
      <xdr:row>5</xdr:row>
      <xdr:rowOff>241552</xdr:rowOff>
    </xdr:to>
    <xdr:pic>
      <xdr:nvPicPr>
        <xdr:cNvPr id="2" name="Picture 1" descr="Rating-tool-header_No-name_revised.jpg">
          <a:extLst>
            <a:ext uri="{FF2B5EF4-FFF2-40B4-BE49-F238E27FC236}">
              <a16:creationId xmlns:a16="http://schemas.microsoft.com/office/drawing/2014/main" id="{4992EF69-4F56-4FAF-88BC-2E63763D898A}"/>
            </a:ext>
          </a:extLst>
        </xdr:cNvPr>
        <xdr:cNvPicPr>
          <a:picLocks noChangeAspect="1"/>
        </xdr:cNvPicPr>
      </xdr:nvPicPr>
      <xdr:blipFill rotWithShape="1">
        <a:blip xmlns:r="http://schemas.openxmlformats.org/officeDocument/2006/relationships" r:embed="rId1" cstate="print"/>
        <a:srcRect r="70703"/>
        <a:stretch/>
      </xdr:blipFill>
      <xdr:spPr>
        <a:xfrm>
          <a:off x="6350" y="301625"/>
          <a:ext cx="2260600" cy="1105152"/>
        </a:xfrm>
        <a:prstGeom prst="rect">
          <a:avLst/>
        </a:prstGeom>
      </xdr:spPr>
    </xdr:pic>
    <xdr:clientData/>
  </xdr:twoCellAnchor>
  <xdr:twoCellAnchor editAs="oneCell">
    <xdr:from>
      <xdr:col>2</xdr:col>
      <xdr:colOff>1228725</xdr:colOff>
      <xdr:row>1</xdr:row>
      <xdr:rowOff>9525</xdr:rowOff>
    </xdr:from>
    <xdr:to>
      <xdr:col>7</xdr:col>
      <xdr:colOff>591343</xdr:colOff>
      <xdr:row>5</xdr:row>
      <xdr:rowOff>241552</xdr:rowOff>
    </xdr:to>
    <xdr:pic>
      <xdr:nvPicPr>
        <xdr:cNvPr id="3" name="Picture 2" descr="Rating-tool-header_No-name_revised.jpg">
          <a:extLst>
            <a:ext uri="{FF2B5EF4-FFF2-40B4-BE49-F238E27FC236}">
              <a16:creationId xmlns:a16="http://schemas.microsoft.com/office/drawing/2014/main" id="{F483F7E8-C045-453C-9682-1D1EB5C72B1D}"/>
            </a:ext>
          </a:extLst>
        </xdr:cNvPr>
        <xdr:cNvPicPr>
          <a:picLocks noChangeAspect="1"/>
        </xdr:cNvPicPr>
      </xdr:nvPicPr>
      <xdr:blipFill rotWithShape="1">
        <a:blip xmlns:r="http://schemas.openxmlformats.org/officeDocument/2006/relationships" r:embed="rId1" cstate="print"/>
        <a:srcRect l="32813"/>
        <a:stretch/>
      </xdr:blipFill>
      <xdr:spPr>
        <a:xfrm>
          <a:off x="2368550" y="301625"/>
          <a:ext cx="5233986" cy="110515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6</xdr:col>
      <xdr:colOff>9525</xdr:colOff>
      <xdr:row>4</xdr:row>
      <xdr:rowOff>155829</xdr:rowOff>
    </xdr:to>
    <xdr:pic>
      <xdr:nvPicPr>
        <xdr:cNvPr id="2" name="Picture 1" descr="Rating-tool-header_No-name_revised.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LO-MS-FILE01\Greenstar\Tool%20Devt%20&amp;%20Review\02.%20New%20Generation%20Rating%20Tools\GS%20Performance\02.%20Working%20Copy\01.%20Calculators\01.%20Working\15B_ENE_GHG%20Emissions%20Calculator_v1.2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Change Log"/>
      <sheetName val="Instructions"/>
      <sheetName val="15B Building Details"/>
      <sheetName val="15B Calculation"/>
      <sheetName val="Carbon Neutral Summary"/>
      <sheetName val="15B Baseline Tables"/>
      <sheetName val="NGER Emission Factors"/>
      <sheetName val="AGO Emission Factors"/>
      <sheetName val="CDD &amp; HDD table"/>
      <sheetName val="Points Table"/>
    </sheetNames>
    <sheetDataSet>
      <sheetData sheetId="0" refreshError="1"/>
      <sheetData sheetId="1" refreshError="1"/>
      <sheetData sheetId="2" refreshError="1"/>
      <sheetData sheetId="3"/>
      <sheetData sheetId="4" refreshError="1"/>
      <sheetData sheetId="5"/>
      <sheetData sheetId="6"/>
      <sheetData sheetId="7" refreshError="1"/>
      <sheetData sheetId="8"/>
      <sheetData sheetId="9" refreshError="1"/>
      <sheetData sheetId="1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2CBCF4D-BAC8-48AE-9C2C-9DE4DD900DA3}" name="Table1" displayName="Table1" ref="B6:BE107" totalsRowShown="0" headerRowDxfId="93" dataDxfId="92">
  <autoFilter ref="B6:BE107" xr:uid="{46BE54DB-77FC-4C14-BAA7-896D9E97CBE3}"/>
  <tableColumns count="56">
    <tableColumn id="1" xr3:uid="{10B06E88-5DF2-4637-A595-525004807AE9}" name="Please enter the project's Green Star number." dataDxfId="91"/>
    <tableColumn id="2" xr3:uid="{1FF70B6F-EB74-49A5-9697-9576D8AEAC85}" name="Please enter the building's name." dataDxfId="90"/>
    <tableColumn id="20" xr3:uid="{4D41BBFE-FF9C-4B4F-86B2-D59B7CFE85C0}" name="Please select the targeted Green Star rating for this building" dataDxfId="89"/>
    <tableColumn id="4" xr3:uid="{8FB4B7F3-926B-4257-BC3B-44B85E8172A3}" name="Scope of emissions captured in this analysis (base building or whole building)" dataDxfId="88"/>
    <tableColumn id="29" xr3:uid="{427078D1-8E63-4BDE-914A-BA0DFB04096C}" name="Street Address (number, street name, and suburb, if applicable)" dataDxfId="87"/>
    <tableColumn id="28" xr3:uid="{87186CF0-F1E2-4C02-ADEF-12913617ADF9}" name="Postcode" dataDxfId="86"/>
    <tableColumn id="33" xr3:uid="{2447293E-026C-4B23-A9CF-0D1F43B1D61E}" name="City" dataDxfId="85"/>
    <tableColumn id="51" xr3:uid="{A4CF141D-D837-4404-9897-C39F6D4461DA}" name="Country" dataDxfId="84"/>
    <tableColumn id="56" xr3:uid="{5928D256-6715-493A-A498-63EA5495F0C6}" name="Start of the building's Performance period" dataDxfId="83"/>
    <tableColumn id="53" xr3:uid="{0007AD98-52B6-4117-8B2B-EC5F73E516D6}" name="End of the building's Performance period" dataDxfId="82"/>
    <tableColumn id="52" xr3:uid="{FC874BA3-5DF2-4170-9460-6AC50FBCC918}" name="Days in the building's Performance period" dataDxfId="81">
      <calculatedColumnFormula>K7-J7+1</calculatedColumnFormula>
    </tableColumn>
    <tableColumn id="36" xr3:uid="{3D473DCB-1E86-4A0A-9B6D-AC4E4794EDA6}" name="Emission factors" dataDxfId="80">
      <calculatedColumnFormula>YEAR(K7)</calculatedColumnFormula>
    </tableColumn>
    <tableColumn id="34" xr3:uid="{5933E9F4-4F61-4BA0-AE91-7AAF634FCD3F}" name="Primary Building Use (optional)" dataDxfId="79"/>
    <tableColumn id="35" xr3:uid="{941CFEAE-2C1D-4681-8CD2-FB1E1D3D7B01}" name="Building description (features of building, typical operations in building, etc)" dataDxfId="78"/>
    <tableColumn id="37" xr3:uid="{4C3944DD-5CBC-40EE-8A99-FF2C325C26B6}" name="Rated area (m2) - this bulk upload template can only be used for buildings where there is only one building type and one functional space" dataDxfId="77"/>
    <tableColumn id="7" xr3:uid="{EBBDC33D-760B-4553-BF83-BB374BB0074D}" name="Hours of operation - this must be the hours for a single functional space, do not create an average of hours_x000a_(hours / week)" dataDxfId="76"/>
    <tableColumn id="6" xr3:uid="{B2773401-5986-42E5-8CC6-8E791D62F990}" name="Duration of operation within performance period (days)" dataDxfId="75"/>
    <tableColumn id="21" xr3:uid="{32BA55B7-4ACB-49A1-8E57-99A6885D97EE}" name="Select applicable benchmark - note only building types with Pathway B benchmarks are able to use this bulk upload template" dataDxfId="74"/>
    <tableColumn id="22" xr3:uid="{64C53FB9-4433-44EF-82C3-253787069ED0}" name="Please enter the start of the electricity data period" dataDxfId="73"/>
    <tableColumn id="23" xr3:uid="{49CEE799-A4E0-4754-B658-4DD6D3C00805}" name="End of data period" dataDxfId="72"/>
    <tableColumn id="5" xr3:uid="{2585EDD8-7255-487D-BF70-8B92FB264C68}" name="Days in Elect data period" dataDxfId="71">
      <calculatedColumnFormula>IF(ISBLANK(U7),"",U7-T7+1)</calculatedColumnFormula>
    </tableColumn>
    <tableColumn id="30" xr3:uid="{A72466BF-C519-45CB-9F3B-B4BF6E193D9D}" name="Annual electricity consumption (kWh)" dataDxfId="70"/>
    <tableColumn id="45" xr3:uid="{B0D331DE-6E34-4467-95B0-A5AA761FC514}" name="Electricity (GJ)" dataDxfId="69">
      <calculatedColumnFormula>IF(W7&gt;0,W7*0.0036*IF(OR(T7&gt;$J$7,U7&lt;$K$7), 0, IF(T7&lt;$J$7,U7-$J$7,IF($K$7&lt;U7,U7-$K$7,V7)))/V7,0)</calculatedColumnFormula>
    </tableColumn>
    <tableColumn id="16" xr3:uid="{A90A01B5-377E-4701-AEDC-CAC12E19F021}" name="Emissions Factor (kg CO2-e / GJ)" dataDxfId="68">
      <calculatedColumnFormula array="1">IF('Pathway B benchmarks'!C61,INDEX('Pathway B benchmarks'!C61:C63,MATCH(1,($I$7='Pathway B benchmarks'!A61:A63)*(#REF!='Pathway B benchmarks'!B61:B63),0),1))</calculatedColumnFormula>
    </tableColumn>
    <tableColumn id="9" xr3:uid="{8EA7AFF3-CE35-4475-BB38-5D4BC776FBB8}" name="GHG Emissions from electricity (kg.CO2-e p.a.)" dataDxfId="67">
      <calculatedColumnFormula>$Y7/0.0036*$X7</calculatedColumnFormula>
    </tableColumn>
    <tableColumn id="40" xr3:uid="{1C168A95-08E8-4547-9047-089C7FA34B32}" name="Please enter the start of the natural gas data period" dataDxfId="66"/>
    <tableColumn id="39" xr3:uid="{0F9D8D74-2CCA-4D2B-83E3-4D0338AA2D1B}" name="End of natural gas data period" dataDxfId="65"/>
    <tableColumn id="38" xr3:uid="{46F15C5B-1366-4CE8-889C-EC3F5A6B1C1F}" name="Days in Gas data period" dataDxfId="64">
      <calculatedColumnFormula>IF(ISBLANK(AB7),"",AB7-AA7+1)</calculatedColumnFormula>
    </tableColumn>
    <tableColumn id="3" xr3:uid="{79F3D192-30CE-40DA-BE9E-5BF5DD798272}" name="Annual natural gas consumption (MJ)" dataDxfId="63"/>
    <tableColumn id="46" xr3:uid="{19DDC587-5122-4833-877E-35E3756F1172}" name="Natural gas (GJ)" dataDxfId="62">
      <calculatedColumnFormula>IF(AD7&gt;0,AD7*0.001*IF(OR(AA7&gt;$J$7,AB7&lt;$K$7), 0, IF(AA7&lt;$J$7,AB7-$J$7,IF($K$7&lt;AB7,AB7-$K$7,AC7)))/AC7,0)</calculatedColumnFormula>
    </tableColumn>
    <tableColumn id="17" xr3:uid="{E47CA956-A904-4FB4-A0C8-9380B6CF8BD5}" name="Emissions Factor (kg CO2-e / GJ)2" dataDxfId="61">
      <calculatedColumnFormula array="1">IF('Pathway B benchmarks'!F39,INDEX('Pathway B benchmarks'!F39:F56,MATCH(1,($AE$6='Pathway B benchmarks'!A39:A56)*(#REF!='Pathway B benchmarks'!B39:B56),0),1))</calculatedColumnFormula>
    </tableColumn>
    <tableColumn id="10" xr3:uid="{61C389A3-B1D5-49A0-9D40-2D6DD6063700}" name="GHG Emissions from natural gas(kg.CO2-e p.a.)" dataDxfId="60">
      <calculatedColumnFormula>IFERROR($AE7*$AF7,0)</calculatedColumnFormula>
    </tableColumn>
    <tableColumn id="43" xr3:uid="{423E1BA8-74CC-4597-84F4-648018F852F1}" name="Please enter the start of the LPG data period" dataDxfId="59"/>
    <tableColumn id="42" xr3:uid="{BB9049AF-031A-4847-9262-8B8AF4DA772B}" name="End of LPG data period" dataDxfId="58"/>
    <tableColumn id="41" xr3:uid="{4DEFB225-169D-4925-AEFC-93AB1B7A7C9B}" name="Days in LPG data period" dataDxfId="57">
      <calculatedColumnFormula>IF(ISBLANK(AI7),"",AI7-AH7+1)</calculatedColumnFormula>
    </tableColumn>
    <tableColumn id="24" xr3:uid="{25868042-CDC4-4D64-BDB9-E11527908BBD}" name="Annual Liquefied Petroleum Gas (LPG) consumption (kL)" dataDxfId="56"/>
    <tableColumn id="47" xr3:uid="{1D7D67B1-2D7D-4FA9-9719-FE7BD49FBBB7}" name="LPG (GJ)" dataDxfId="55">
      <calculatedColumnFormula>IF(AK7&gt;0,AK7*26.2*IF(OR(AH7&gt;$J$7,AI7&lt;$K$7), 0, IF(AH7&lt;$J$7,AI7-$J$7,IF($K$7&lt;AI7,AI7-$K$7,AJ7)))/AJ7,0)</calculatedColumnFormula>
    </tableColumn>
    <tableColumn id="19" xr3:uid="{4AF45B8E-6660-4337-A459-80349270C275}" name="Emissions Factor (kg CO2-e / GJ)3" dataDxfId="54">
      <calculatedColumnFormula array="1">IF('Pathway B benchmarks'!F39,INDEX('Pathway B benchmarks'!F39:F56,MATCH(1,($AL$6='Pathway B benchmarks'!A39:A56)*(#REF!='Pathway B benchmarks'!B39:B56),0),1))</calculatedColumnFormula>
    </tableColumn>
    <tableColumn id="18" xr3:uid="{504CD27B-A6D0-4A87-AA0C-0ABB2CAF429D}" name="GHG Emissions from LPG (kg.CO2-e p.a.)" dataDxfId="53">
      <calculatedColumnFormula>IFERROR($AL7*$AM7,0)</calculatedColumnFormula>
    </tableColumn>
    <tableColumn id="11" xr3:uid="{865E820F-3B00-4847-B806-45FC42D393CC}" name="Please enter the start of the diesel data period" dataDxfId="52"/>
    <tableColumn id="44" xr3:uid="{40591D43-684A-46CA-875F-3EEF156A8737}" name="End of diesel data period" dataDxfId="51"/>
    <tableColumn id="12" xr3:uid="{2B6420F2-F91E-471B-B539-2E0E40361E66}" name="Days in diesel data period" dataDxfId="50">
      <calculatedColumnFormula>IF(ISBLANK(AP7),"",AP7-AO7+1)</calculatedColumnFormula>
    </tableColumn>
    <tableColumn id="13" xr3:uid="{181E88EC-C26E-4BEA-A6FB-0E47487F9B15}" name="Annual diesel consumption (kL)" dataDxfId="49"/>
    <tableColumn id="48" xr3:uid="{6FF37B68-69D0-445D-971E-1C57DBE423AB}" name="Diesel (GJ)" dataDxfId="48">
      <calculatedColumnFormula>IF(AR7&gt;0,AR7*38.6*IF(OR(AO7&gt;$J$7,AP7&lt;$K$7), 0, IF(AO7&lt;$J$7,AP7-$J$7,IF($K$7&lt;AP7,AP7-$K$7,AQ7)))/AQ7,0)</calculatedColumnFormula>
    </tableColumn>
    <tableColumn id="31" xr3:uid="{71606525-1433-438D-A6CD-77DEDC808EEE}" name="Emissions Factor (kg CO2-e / GJ)4" dataDxfId="47">
      <calculatedColumnFormula array="1">IF('Pathway B benchmarks'!F39,INDEX('Pathway B benchmarks'!F39:F56,MATCH(1,($AS$6='Pathway B benchmarks'!A39:A56)*(#REF!='Pathway B benchmarks'!B39:B56),0),1))</calculatedColumnFormula>
    </tableColumn>
    <tableColumn id="25" xr3:uid="{D5F504F9-624A-45FF-8500-BD6F3644B3E4}" name="GHG Emissions from diesel  (kg.CO2-e p.a.)" dataDxfId="46">
      <calculatedColumnFormula>IFERROR($AS7*$AT7,0)</calculatedColumnFormula>
    </tableColumn>
    <tableColumn id="32" xr3:uid="{CE8C4734-2249-4FB3-87A8-04C0EFBB0967}" name="Benchmark energy Intensity (MJ/m2)" dataDxfId="45">
      <calculatedColumnFormula>IF($I7="","",IF($I7="Custom",0,INDEX('Pathway B benchmarks'!$17:$18,MATCH($I7,'Pathway B benchmarks'!$A$17:$A$18,0),MATCH($S7,'Pathway B benchmarks'!$17:$17,0))))</calculatedColumnFormula>
    </tableColumn>
    <tableColumn id="54" xr3:uid="{7278A26B-2108-41BD-8958-1BF75DF2BE80}" name="Hours of operation (hours / week)" dataDxfId="44">
      <calculatedColumnFormula>IF($I7="","",IF($I7="Custom",0,INDEX('Pathway B benchmarks'!$30:$34,2,MATCH($S7,'Pathway B benchmarks'!$30:$30,0))))</calculatedColumnFormula>
    </tableColumn>
    <tableColumn id="8" xr3:uid="{2F4F2E0A-05E9-4725-B47C-53F8FE0F139F}" name="Normalised Energy Intensity " dataDxfId="43">
      <calculatedColumnFormula>IF($AW$7=0,1,$Q$7/$AW$7)*$AV$7</calculatedColumnFormula>
    </tableColumn>
    <tableColumn id="27" xr3:uid="{7898746B-7401-420D-9D7E-B019B7796C90}" name="Average baseline GHG emissions intensity (kg CO2-e / GJ)" dataDxfId="42">
      <calculatedColumnFormula>$AX$7/1000*$Y7/0.0036</calculatedColumnFormula>
    </tableColumn>
    <tableColumn id="49" xr3:uid="{907A7034-B276-43B6-B9AD-6FBDFC405D52}" name="Minimum baseline GHG emissions intensity (kg CO2-e / GJ)" dataDxfId="41">
      <calculatedColumnFormula>$AY$8/70*100</calculatedColumnFormula>
    </tableColumn>
    <tableColumn id="55" xr3:uid="{085CEB52-3252-4539-AF05-5206FFAFAAC0}" name="Building to be rated" dataDxfId="40">
      <calculatedColumnFormula>(Z7+AG7+AN7+AU7)/P7</calculatedColumnFormula>
    </tableColumn>
    <tableColumn id="26" xr3:uid="{52E3A4BD-C41D-4C78-8202-231985E1C57F}" name="Improvement over minimum performer (%)" dataDxfId="39">
      <calculatedColumnFormula>MAX(0,IFERROR(1-(BA7/(AY7/70)/100),0))</calculatedColumnFormula>
    </tableColumn>
    <tableColumn id="50" xr3:uid="{649AD817-C120-42CD-B56C-650E62846D9F}" name="Improvement over average performer (%)" dataDxfId="38">
      <calculatedColumnFormula>(1-BA7/AY7)</calculatedColumnFormula>
    </tableColumn>
    <tableColumn id="15" xr3:uid="{67EC3299-D872-4145-8F36-39AD979A9958}" name="Total Points Awarded " dataDxfId="37">
      <calculatedColumnFormula>IF(OR(E7="Whole Building", E7="Hotel", E7="School", E7="Data Centre (Whole facility)", E7="Residential Aged Care", E7="Retirement Living", E7="RAC and retirement (co-located)"),VLOOKUP(BB7,'Points Table'!$B$13:$C$36,2,TRUE),IF(OR(E7="Base Building", E7="Shopping Centre", E7="Apartment", E7="Warehouse and Cold Store", E7="Data Centre (Infrastructure)"),VLOOKUP(BB7,'Points Table'!$E$13:$F$33,2,TRUE),0))</calculatedColumnFormula>
    </tableColumn>
    <tableColumn id="14" xr3:uid="{35E3FE92-31AC-418C-9D42-414A18BC846A}" name="Conditional requirement for 4+ stars - best practice rating achieved" dataDxfId="36">
      <calculatedColumnFormula>IF($BD$7&gt;=8, "YES", "NO")</calculatedColumnFormula>
    </tableColumn>
  </tableColumns>
  <tableStyleInfo name="TableStyleMedium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E8620D9-2B4E-45CC-B8AF-85B1F079FE2C}" name="Table4" displayName="Table4" ref="A2:A4" totalsRowShown="0">
  <autoFilter ref="A2:A4" xr:uid="{DE8620D9-2B4E-45CC-B8AF-85B1F079FE2C}"/>
  <tableColumns count="1">
    <tableColumn id="1" xr3:uid="{3D7B5693-56CC-49C8-8D48-5B25AE8DD9BF}" name="Scope of Emissions"/>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6635406-0FAC-4D2B-A11A-7942234EC04D}" name="Table5" displayName="Table5" ref="A6:A13" totalsRowShown="0" headerRowDxfId="35" dataDxfId="34" headerRowBorderDxfId="32" tableBorderDxfId="33" totalsRowBorderDxfId="31">
  <autoFilter ref="A6:A13" xr:uid="{E6635406-0FAC-4D2B-A11A-7942234EC04D}"/>
  <tableColumns count="1">
    <tableColumn id="1" xr3:uid="{705F62F2-A3D2-407A-9601-FBD6F2DD1BD8}" name="Star Ratings" dataDxfId="30"/>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5A10FD6-0553-426E-B6D0-751A645F6830}" name="Table14" displayName="Table14" ref="B9:AD110" totalsRowShown="0" headerRowDxfId="29">
  <autoFilter ref="B9:AD110" xr:uid="{46BE54DB-77FC-4C14-BAA7-896D9E97CBE3}"/>
  <tableColumns count="29">
    <tableColumn id="1" xr3:uid="{198A21F1-D9D8-44E3-8650-0DFD0F339444}" name="Please enter the project's Green Star number." dataDxfId="28"/>
    <tableColumn id="2" xr3:uid="{3A3952F6-4095-47EE-8386-F16717B76FD4}" name="Please enter the building's address or name." dataDxfId="27"/>
    <tableColumn id="20" xr3:uid="{A49853D4-1E7A-4D7D-9E19-8AD0AE59348A}" name="Please select the targeted Green Star rating for this building" dataDxfId="26"/>
    <tableColumn id="4" xr3:uid="{E53ACE1D-3D10-4974-AEBB-F59A5EA3BDA5}" name="Please select the NABERS rating type." dataDxfId="25"/>
    <tableColumn id="37" xr3:uid="{110ACCCE-55C4-4FAB-9E97-0CA8548C1DD8}" name="Postcode" dataDxfId="24"/>
    <tableColumn id="38" xr3:uid="{5E4055DD-4C0F-4AC6-AC60-67364488EE70}" name="Hours of occupancy per week_x000a__x000a_(hrs per week)" dataDxfId="23"/>
    <tableColumn id="36" xr3:uid="{0A4FEDCE-2317-4BD7-B7BA-9BE0B836BB05}" name="Benchmarking Emissions Intensity at 1 Stars NABERS Energy _x000a__x000a_(kgCO2-e/m2.year)" dataDxfId="22"/>
    <tableColumn id="21" xr3:uid="{61B71A5F-8F80-4E16-BB85-65F34CCDF7A2}" name="Please enter the project NABERS Rating reference number" dataDxfId="21"/>
    <tableColumn id="6" xr3:uid="{E1A85411-4BEA-46AF-AF7B-061454D8C554}" name="For office - Rated area (m2)_x000a__x000a_For retail - _x000a_Total shopping centre area (m2)" dataDxfId="20"/>
    <tableColumn id="22" xr3:uid="{6E4AC9BE-0577-4F8A-BDC7-CD6B60AB588A}" name="Please enter the start of the rating period (dd/mm/yyyy)" dataDxfId="19"/>
    <tableColumn id="23" xr3:uid="{4C1F707A-5D53-4AEC-9DAC-7A7AC01C8A9E}" name="End of NABERS rating period" dataDxfId="18">
      <calculatedColumnFormula>IF(ISBLANK(K10),"",DATE(YEAR(K10)+1,MONTH(K10),DAY(K10)-1))</calculatedColumnFormula>
    </tableColumn>
    <tableColumn id="5" xr3:uid="{27FFF64E-6590-4478-9760-D6E33A4D705D}" name="What is the date of the NABERS Certificate expiry? (dd/mm/yyyy)" dataDxfId="17"/>
    <tableColumn id="7" xr3:uid="{0F017E21-123E-4543-857B-C159336F36FE}" name="Onsite Renewable Electricity (kWh)" dataDxfId="16"/>
    <tableColumn id="25" xr3:uid="{B4FCC24E-4BF2-4906-B5C0-ACEB2C8A53DE}" name="RET and State/Territory targets (kWh)" dataDxfId="15"/>
    <tableColumn id="19" xr3:uid="{40C6D587-6D2C-4BF5-A8F4-FDC85BE8AA9D}" name="GreenPower (kWh)" dataDxfId="14"/>
    <tableColumn id="18" xr3:uid="{1D1E6200-6DAE-4A09-8C93-453AA6702BC1}" name="Other Voluntary Purchases (kWh)" dataDxfId="13"/>
    <tableColumn id="17" xr3:uid="{058EA5B7-7AD2-44C5-9BBA-6D8B0C86FCC9}" name="Total Renewable Electricity (kWh)" dataDxfId="12"/>
    <tableColumn id="16" xr3:uid="{09D66286-DE29-4C21-B8EB-0978E177A2FD}" name="Non-Renewable electricity (kWh)" dataDxfId="11"/>
    <tableColumn id="10" xr3:uid="{1B567E4E-4637-49DA-8B36-E1CFD9131E6E}" name="Gas and LPG (MJ)" dataDxfId="10"/>
    <tableColumn id="8" xr3:uid="{61E31382-230B-40F3-9E98-47FEC66EA921}" name="Diesel (L)" dataDxfId="9"/>
    <tableColumn id="30" xr3:uid="{1EB70732-CB5F-4AC6-947E-50A3CFA4C430}" name="NABERS Energy Rating _x000a__x000a_(Stars)" dataDxfId="8"/>
    <tableColumn id="24" xr3:uid="{7650F0E5-3C6D-4BF7-8B44-BC299E411ED1}" name="Total greenhouse gas emissions (scope 1 &amp; 2)_x000a__x000a_(kg CO2-e p.a.)" dataDxfId="7"/>
    <tableColumn id="11" xr3:uid="{332ADD1A-C628-4BD8-B9CD-582006AABE80}" name="Total greenhouse gas emissions (full fuel cycle – scope 1, 2 &amp; 3) _x000a__x000a_(kg CO2-e p.a.)" dataDxfId="6"/>
    <tableColumn id="12" xr3:uid="{4C1BFCE2-836F-4FFF-9D51-3D30D32859A4}" name="Greenhouse gas intensity (scope 1 &amp; 2) _x000a__x000a_(kg CO2-e/m² p.a.)" dataDxfId="5"/>
    <tableColumn id="13" xr3:uid="{3B6F5721-EEC2-44B6-AF86-DF87A4B9ACB6}" name="Greenhouse gas intensity (full fuel cycle – scope 1, 2 &amp; 3) _x000a__x000a_(kg CO2-e/m² p.a.)" dataDxfId="4"/>
    <tableColumn id="31" xr3:uid="{DCDA9429-C386-4171-9628-FBB9463DCFC3}" name="Column1" dataDxfId="3"/>
    <tableColumn id="14" xr3:uid="{47AE9997-0EBB-4A5A-9C89-6154ABA540FD}" name="Requirement For Best Practice Rating Achieved" dataDxfId="2">
      <calculatedColumnFormula>IF(Table14[[#This Row],[NABERS Energy Rating 
(Stars)]]&gt;=4, "YES", "NO")</calculatedColumnFormula>
    </tableColumn>
    <tableColumn id="39" xr3:uid="{33238125-4E43-466F-9AED-510D97812F9E}" name="Improvement (%)" dataDxfId="1">
      <calculatedColumnFormula>IF(Z10="",0,MAX(0,IFERROR((H10-Z10)/H10,0)))</calculatedColumnFormula>
    </tableColumn>
    <tableColumn id="15" xr3:uid="{055A3A7D-5AF2-493D-8BCC-8606A823AB21}" name="Total Points Awarded" dataDxfId="0">
      <calculatedColumnFormula>IF(E10="Whole Building",VLOOKUP(AC10,'Points Table'!$B$13:$C$36,2,TRUE),IF(OR(E10="Base Building", E10="Shopping Centre"),VLOOKUP(AC10,'Points Table'!$E$13:$F$33,2,TRUE),0))</calculatedColumnFormula>
    </tableColumn>
  </tableColumns>
  <tableStyleInfo name="TableStyleMedium12" showFirstColumn="0" showLastColumn="0" showRowStripes="1" showColumnStripes="0"/>
</table>
</file>

<file path=xl/theme/theme1.xml><?xml version="1.0" encoding="utf-8"?>
<a:theme xmlns:a="http://schemas.openxmlformats.org/drawingml/2006/main" name="Office Theme">
  <a:themeElements>
    <a:clrScheme name="Performance">
      <a:dk1>
        <a:srgbClr val="3F4450"/>
      </a:dk1>
      <a:lt1>
        <a:srgbClr val="FFFFFF"/>
      </a:lt1>
      <a:dk2>
        <a:srgbClr val="56B3D0"/>
      </a:dk2>
      <a:lt2>
        <a:srgbClr val="FFFFFF"/>
      </a:lt2>
      <a:accent1>
        <a:srgbClr val="56B3D0"/>
      </a:accent1>
      <a:accent2>
        <a:srgbClr val="78C2D9"/>
      </a:accent2>
      <a:accent3>
        <a:srgbClr val="AAD9E7"/>
      </a:accent3>
      <a:accent4>
        <a:srgbClr val="CCE8F1"/>
      </a:accent4>
      <a:accent5>
        <a:srgbClr val="3F4450"/>
      </a:accent5>
      <a:accent6>
        <a:srgbClr val="9FA2A7"/>
      </a:accent6>
      <a:hlink>
        <a:srgbClr val="56B3D0"/>
      </a:hlink>
      <a:folHlink>
        <a:srgbClr val="C5C7CA"/>
      </a:folHlink>
    </a:clrScheme>
    <a:fontScheme name="Green Star Corporat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39.bin"/><Relationship Id="rId5" Type="http://schemas.openxmlformats.org/officeDocument/2006/relationships/comments" Target="../comments3.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8" Type="http://schemas.openxmlformats.org/officeDocument/2006/relationships/hyperlink" Target="http://www.climatechange.gov.au/en/publications/greenhouse-acctg/national-greenhouse-factors.aspx" TargetMode="External"/><Relationship Id="rId13" Type="http://schemas.openxmlformats.org/officeDocument/2006/relationships/hyperlink" Target="http://www.mfe.govt.nz/publications/climate-change/guidance-voluntary-greenhouse-gas-reporting-2016-data-and-methods-2014" TargetMode="External"/><Relationship Id="rId3" Type="http://schemas.openxmlformats.org/officeDocument/2006/relationships/printerSettings" Target="../printerSettings/printerSettings42.bin"/><Relationship Id="rId7" Type="http://schemas.openxmlformats.org/officeDocument/2006/relationships/hyperlink" Target="http://www.climatechange.gov.au/en/publications/greenhouse-acctg/national-greenhouse-factors.aspx" TargetMode="External"/><Relationship Id="rId12" Type="http://schemas.openxmlformats.org/officeDocument/2006/relationships/hyperlink" Target="http://www.mfe.govt.nz/publications/climate-change/guidance-voluntary-greenhouse-gas-reporting-2016-data-and-methods-2014" TargetMode="External"/><Relationship Id="rId17" Type="http://schemas.openxmlformats.org/officeDocument/2006/relationships/drawing" Target="../drawings/drawing9.xml"/><Relationship Id="rId2" Type="http://schemas.openxmlformats.org/officeDocument/2006/relationships/printerSettings" Target="../printerSettings/printerSettings41.bin"/><Relationship Id="rId16" Type="http://schemas.openxmlformats.org/officeDocument/2006/relationships/printerSettings" Target="../printerSettings/printerSettings45.bin"/><Relationship Id="rId1" Type="http://schemas.openxmlformats.org/officeDocument/2006/relationships/printerSettings" Target="../printerSettings/printerSettings40.bin"/><Relationship Id="rId6" Type="http://schemas.openxmlformats.org/officeDocument/2006/relationships/hyperlink" Target="http://www.climatechange.gov.au/en/publications/greenhouse-acctg/national-greenhouse-factors.aspx" TargetMode="External"/><Relationship Id="rId11" Type="http://schemas.openxmlformats.org/officeDocument/2006/relationships/hyperlink" Target="http://www.mfe.govt.nz/publications/climate-change/guidance-voluntary-greenhouse-gas-reporting-2016-data-and-methods-2014" TargetMode="External"/><Relationship Id="rId5" Type="http://schemas.openxmlformats.org/officeDocument/2006/relationships/printerSettings" Target="../printerSettings/printerSettings44.bin"/><Relationship Id="rId15" Type="http://schemas.openxmlformats.org/officeDocument/2006/relationships/hyperlink" Target="http://www.mfe.govt.nz/publications/climate-change/guidance-voluntary-greenhouse-gas-reporting-2016-data-and-methods-2014" TargetMode="External"/><Relationship Id="rId10" Type="http://schemas.openxmlformats.org/officeDocument/2006/relationships/hyperlink" Target="http://www.climatechange.gov.au/en/publications/greenhouse-acctg/national-greenhouse-factors.aspx" TargetMode="External"/><Relationship Id="rId4" Type="http://schemas.openxmlformats.org/officeDocument/2006/relationships/printerSettings" Target="../printerSettings/printerSettings43.bin"/><Relationship Id="rId9" Type="http://schemas.openxmlformats.org/officeDocument/2006/relationships/hyperlink" Target="http://www.climatechange.gov.au/en/publications/greenhouse-acctg/national-greenhouse-factors.aspx" TargetMode="External"/><Relationship Id="rId14" Type="http://schemas.openxmlformats.org/officeDocument/2006/relationships/hyperlink" Target="http://www.mfe.govt.nz/publications/climate-change/guidance-voluntary-greenhouse-gas-reporting-2016-data-and-methods-2014" TargetMode="External"/></Relationships>
</file>

<file path=xl/worksheets/_rels/sheet12.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printerSettings" Target="../printerSettings/printerSettings48.bin"/><Relationship Id="rId7" Type="http://schemas.openxmlformats.org/officeDocument/2006/relationships/drawing" Target="../drawings/drawing10.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printerSettings" Target="../printerSettings/printerSettings51.bin"/><Relationship Id="rId5" Type="http://schemas.openxmlformats.org/officeDocument/2006/relationships/printerSettings" Target="../printerSettings/printerSettings50.bin"/><Relationship Id="rId10" Type="http://schemas.openxmlformats.org/officeDocument/2006/relationships/comments" Target="../comments4.xml"/><Relationship Id="rId4" Type="http://schemas.openxmlformats.org/officeDocument/2006/relationships/printerSettings" Target="../printerSettings/printerSettings49.bin"/><Relationship Id="rId9"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7"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21.bin"/><Relationship Id="rId7" Type="http://schemas.openxmlformats.org/officeDocument/2006/relationships/drawing" Target="../drawings/drawing4.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10" Type="http://schemas.openxmlformats.org/officeDocument/2006/relationships/comments" Target="../comments1.xml"/><Relationship Id="rId4" Type="http://schemas.openxmlformats.org/officeDocument/2006/relationships/printerSettings" Target="../printerSettings/printerSettings22.bin"/><Relationship Id="rId9"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printerSettings" Target="../printerSettings/printerSettings27.bin"/><Relationship Id="rId7" Type="http://schemas.openxmlformats.org/officeDocument/2006/relationships/drawing" Target="../drawings/drawing5.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10" Type="http://schemas.openxmlformats.org/officeDocument/2006/relationships/comments" Target="../comments2.xml"/><Relationship Id="rId4" Type="http://schemas.openxmlformats.org/officeDocument/2006/relationships/printerSettings" Target="../printerSettings/printerSettings28.bin"/><Relationship Id="rId9"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printerSettings" Target="../printerSettings/printerSettings35.bin"/><Relationship Id="rId7" Type="http://schemas.openxmlformats.org/officeDocument/2006/relationships/drawing" Target="../drawings/drawing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printerSettings" Target="../printerSettings/printerSettings38.bin"/><Relationship Id="rId5" Type="http://schemas.openxmlformats.org/officeDocument/2006/relationships/printerSettings" Target="../printerSettings/printerSettings37.bin"/><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3:S3"/>
  <sheetViews>
    <sheetView showGridLines="0" workbookViewId="0">
      <selection activeCell="V21" sqref="V21"/>
    </sheetView>
  </sheetViews>
  <sheetFormatPr defaultColWidth="9.28515625" defaultRowHeight="13.15"/>
  <sheetData>
    <row r="3" spans="1:19" ht="15.6">
      <c r="A3" s="365" t="s">
        <v>0</v>
      </c>
      <c r="B3" s="365"/>
      <c r="C3" s="365"/>
      <c r="D3" s="365"/>
      <c r="E3" s="365"/>
      <c r="F3" s="365"/>
      <c r="G3" s="365"/>
      <c r="H3" s="365"/>
      <c r="I3" s="365"/>
      <c r="J3" s="365"/>
      <c r="K3" s="365"/>
      <c r="L3" s="365"/>
      <c r="M3" s="365"/>
      <c r="N3" s="365"/>
      <c r="O3" s="365"/>
      <c r="P3" s="365"/>
      <c r="Q3" s="365"/>
      <c r="R3" s="365"/>
      <c r="S3" s="365"/>
    </row>
  </sheetData>
  <customSheetViews>
    <customSheetView guid="{8B2770CE-D161-47F0-859F-125AE657BDD5}" showGridLines="0" fitToPage="1" topLeftCell="A13">
      <selection activeCell="V14" sqref="V14"/>
      <pageMargins left="0" right="0" top="0" bottom="0" header="0" footer="0"/>
      <pageSetup paperSize="9" scale="48" orientation="portrait" r:id="rId1"/>
    </customSheetView>
    <customSheetView guid="{693EBD7D-AE81-4642-BB20-D90B339CE02F}" scale="70" showGridLines="0" fitToPage="1">
      <selection activeCell="P1" sqref="P1"/>
      <pageMargins left="0" right="0" top="0" bottom="0" header="0" footer="0"/>
      <pageSetup paperSize="9" scale="48" orientation="portrait" r:id="rId2"/>
    </customSheetView>
    <customSheetView guid="{E06C82F7-4BAD-4D00-99B9-78356C6407C1}" showGridLines="0" showRowCol="0" fitToPage="1">
      <selection activeCell="G35" sqref="G35"/>
      <pageMargins left="0" right="0" top="0" bottom="0" header="0" footer="0"/>
      <pageSetup paperSize="9" scale="48" orientation="portrait" r:id="rId3"/>
    </customSheetView>
    <customSheetView guid="{F1CAFB27-0D4C-4982-A367-458EC793250D}" showGridLines="0" showRowCol="0" fitToPage="1">
      <selection activeCell="G35" sqref="G35"/>
      <pageMargins left="0" right="0" top="0" bottom="0" header="0" footer="0"/>
      <pageSetup paperSize="9" scale="48" orientation="portrait" r:id="rId4"/>
    </customSheetView>
    <customSheetView guid="{0AA775FA-F8A9-4D24-AA12-2EE4A0C4B54A}" scale="70" showGridLines="0" fitToPage="1">
      <selection activeCell="P1" sqref="P1"/>
      <pageMargins left="0" right="0" top="0" bottom="0" header="0" footer="0"/>
      <pageSetup paperSize="9" scale="48" orientation="portrait" r:id="rId5"/>
    </customSheetView>
  </customSheetViews>
  <mergeCells count="1">
    <mergeCell ref="A3:S3"/>
  </mergeCells>
  <pageMargins left="0.70866141732283472" right="0.70866141732283472" top="0.74803149606299213" bottom="0.74803149606299213" header="0.31496062992125984" footer="0.31496062992125984"/>
  <pageSetup paperSize="9" scale="48" orientation="portrait" r:id="rId6"/>
  <drawing r:id="rId7"/>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976A1-A4A7-4783-8E94-5991FEC375A9}">
  <sheetPr codeName="Sheet11">
    <tabColor theme="9" tint="-0.249977111117893"/>
  </sheetPr>
  <dimension ref="B3:AD110"/>
  <sheetViews>
    <sheetView showGridLines="0" topLeftCell="H1" zoomScale="80" zoomScaleNormal="80" workbookViewId="0">
      <selection activeCell="E10" sqref="E10"/>
    </sheetView>
  </sheetViews>
  <sheetFormatPr defaultColWidth="9.28515625" defaultRowHeight="13.15"/>
  <cols>
    <col min="1" max="1" width="4.5703125" customWidth="1"/>
    <col min="2" max="2" width="11.7109375" customWidth="1"/>
    <col min="3" max="3" width="26.7109375" customWidth="1"/>
    <col min="4" max="4" width="12.7109375" customWidth="1"/>
    <col min="5" max="5" width="17.28515625" customWidth="1"/>
    <col min="6" max="6" width="13" customWidth="1"/>
    <col min="7" max="7" width="14.28515625" customWidth="1"/>
    <col min="8" max="9" width="17.28515625" customWidth="1"/>
    <col min="10" max="11" width="14.28515625" customWidth="1"/>
    <col min="12" max="12" width="13.7109375" customWidth="1"/>
    <col min="13" max="13" width="14.5703125" style="265" customWidth="1"/>
    <col min="14" max="20" width="10.7109375" customWidth="1"/>
    <col min="21" max="22" width="11.42578125" customWidth="1"/>
    <col min="23" max="26" width="14.7109375" customWidth="1"/>
    <col min="27" max="27" width="0.7109375" customWidth="1"/>
    <col min="28" max="29" width="12.7109375" customWidth="1"/>
    <col min="30" max="30" width="11.7109375" customWidth="1"/>
    <col min="31" max="32" width="11.28515625" customWidth="1"/>
  </cols>
  <sheetData>
    <row r="3" spans="2:30" ht="17.25" customHeight="1">
      <c r="B3" s="431" t="s">
        <v>1022</v>
      </c>
      <c r="C3" s="431"/>
      <c r="D3" s="431"/>
      <c r="E3" s="431"/>
      <c r="F3" s="267"/>
      <c r="G3" s="291"/>
      <c r="H3" s="291"/>
      <c r="J3" s="268"/>
      <c r="K3" s="448" t="s">
        <v>1023</v>
      </c>
      <c r="L3" s="448"/>
    </row>
    <row r="4" spans="2:30" ht="17.25" customHeight="1">
      <c r="B4" s="267" t="s">
        <v>1024</v>
      </c>
      <c r="C4" s="267"/>
      <c r="D4" s="267"/>
      <c r="E4" s="267"/>
      <c r="F4" s="267"/>
      <c r="G4" s="291"/>
      <c r="H4" s="291"/>
      <c r="J4" s="268"/>
      <c r="K4" s="269" t="s">
        <v>995</v>
      </c>
      <c r="L4" s="270" t="s">
        <v>997</v>
      </c>
    </row>
    <row r="5" spans="2:30" ht="22.5" customHeight="1">
      <c r="B5" s="449" t="s">
        <v>1025</v>
      </c>
      <c r="C5" s="449"/>
      <c r="D5" s="449"/>
      <c r="E5" s="449"/>
      <c r="F5" s="271"/>
      <c r="G5" s="292"/>
      <c r="H5" s="292"/>
      <c r="I5" s="24"/>
      <c r="J5" s="268"/>
      <c r="K5" s="272">
        <v>44592</v>
      </c>
      <c r="L5" s="273">
        <f>DATE(YEAR(K5)+1,MONTH(K5),DAY(K5)-1)</f>
        <v>44956</v>
      </c>
    </row>
    <row r="6" spans="2:30" ht="23.65" customHeight="1">
      <c r="B6" s="460" t="s">
        <v>1026</v>
      </c>
      <c r="C6" s="460"/>
      <c r="D6" s="460"/>
      <c r="E6" s="460"/>
      <c r="F6" s="460"/>
      <c r="G6" s="460"/>
      <c r="H6" s="460"/>
      <c r="I6" s="289"/>
    </row>
    <row r="7" spans="2:30">
      <c r="K7" s="274"/>
      <c r="L7" s="275"/>
    </row>
    <row r="8" spans="2:30" ht="46.5" customHeight="1">
      <c r="B8" s="432" t="s">
        <v>706</v>
      </c>
      <c r="C8" s="432"/>
      <c r="D8" s="432"/>
      <c r="E8" s="450"/>
      <c r="F8" s="458" t="s">
        <v>1027</v>
      </c>
      <c r="G8" s="459"/>
      <c r="H8" s="459"/>
      <c r="I8" s="451" t="s">
        <v>708</v>
      </c>
      <c r="J8" s="451"/>
      <c r="K8" s="451"/>
      <c r="L8" s="451"/>
      <c r="M8" s="452"/>
      <c r="N8" s="453" t="s">
        <v>1028</v>
      </c>
      <c r="O8" s="453"/>
      <c r="P8" s="453"/>
      <c r="Q8" s="453"/>
      <c r="R8" s="453"/>
      <c r="S8" s="453"/>
      <c r="T8" s="453"/>
      <c r="U8" s="453"/>
      <c r="V8" s="454" t="s">
        <v>1029</v>
      </c>
      <c r="W8" s="455"/>
      <c r="X8" s="455"/>
      <c r="Y8" s="455"/>
      <c r="Z8" s="456"/>
      <c r="AA8" s="276"/>
      <c r="AB8" s="426" t="s">
        <v>1030</v>
      </c>
      <c r="AC8" s="457"/>
      <c r="AD8" s="457"/>
    </row>
    <row r="9" spans="2:30" s="277" customFormat="1" ht="90.6" customHeight="1">
      <c r="B9" s="283" t="s">
        <v>642</v>
      </c>
      <c r="C9" s="284" t="s">
        <v>1031</v>
      </c>
      <c r="D9" s="284" t="s">
        <v>890</v>
      </c>
      <c r="E9" s="284" t="s">
        <v>1032</v>
      </c>
      <c r="F9" s="284" t="s">
        <v>893</v>
      </c>
      <c r="G9" s="284" t="s">
        <v>1033</v>
      </c>
      <c r="H9" s="284" t="s">
        <v>1034</v>
      </c>
      <c r="I9" s="284" t="s">
        <v>413</v>
      </c>
      <c r="J9" s="284" t="s">
        <v>1035</v>
      </c>
      <c r="K9" s="284" t="s">
        <v>1036</v>
      </c>
      <c r="L9" s="284" t="s">
        <v>1037</v>
      </c>
      <c r="M9" s="285" t="s">
        <v>1038</v>
      </c>
      <c r="N9" s="284" t="s">
        <v>1039</v>
      </c>
      <c r="O9" s="284" t="s">
        <v>1040</v>
      </c>
      <c r="P9" s="284" t="s">
        <v>1041</v>
      </c>
      <c r="Q9" s="284" t="s">
        <v>1042</v>
      </c>
      <c r="R9" s="284" t="s">
        <v>1043</v>
      </c>
      <c r="S9" s="284" t="s">
        <v>1044</v>
      </c>
      <c r="T9" s="284" t="s">
        <v>1045</v>
      </c>
      <c r="U9" s="284" t="s">
        <v>1046</v>
      </c>
      <c r="V9" s="284" t="s">
        <v>1047</v>
      </c>
      <c r="W9" s="284" t="s">
        <v>1048</v>
      </c>
      <c r="X9" s="284" t="s">
        <v>1049</v>
      </c>
      <c r="Y9" s="284" t="s">
        <v>1050</v>
      </c>
      <c r="Z9" s="284" t="s">
        <v>1051</v>
      </c>
      <c r="AA9" s="286" t="s">
        <v>1052</v>
      </c>
      <c r="AB9" s="287" t="s">
        <v>1053</v>
      </c>
      <c r="AC9" s="287" t="s">
        <v>1054</v>
      </c>
      <c r="AD9" s="287" t="s">
        <v>808</v>
      </c>
    </row>
    <row r="10" spans="2:30">
      <c r="B10" s="294" t="s">
        <v>1055</v>
      </c>
      <c r="C10" s="294" t="s">
        <v>1056</v>
      </c>
      <c r="D10" s="294" t="s">
        <v>716</v>
      </c>
      <c r="E10" s="294" t="s">
        <v>1057</v>
      </c>
      <c r="F10" s="293">
        <v>2000</v>
      </c>
      <c r="G10" s="293">
        <v>60</v>
      </c>
      <c r="H10" s="293">
        <v>15</v>
      </c>
      <c r="I10" s="293" t="s">
        <v>1058</v>
      </c>
      <c r="J10" s="278">
        <v>3561</v>
      </c>
      <c r="K10" s="279">
        <v>43344</v>
      </c>
      <c r="L10" s="265">
        <f t="shared" ref="L10:L73" si="0">IF(ISBLANK(K10),"",DATE(YEAR(K10)+1,MONTH(K10),DAY(K10)-1))</f>
        <v>43708</v>
      </c>
      <c r="M10" s="279">
        <v>44193</v>
      </c>
      <c r="N10" s="278">
        <v>414544</v>
      </c>
      <c r="O10" s="278">
        <v>43060</v>
      </c>
      <c r="P10" s="278">
        <v>0</v>
      </c>
      <c r="Q10" s="278">
        <v>0</v>
      </c>
      <c r="R10" s="278">
        <v>186000</v>
      </c>
      <c r="S10" s="278">
        <v>0</v>
      </c>
      <c r="T10" s="278">
        <v>55</v>
      </c>
      <c r="U10" s="278">
        <v>0</v>
      </c>
      <c r="V10" s="278">
        <v>4</v>
      </c>
      <c r="W10" s="278">
        <v>155910</v>
      </c>
      <c r="X10" s="278">
        <v>176562</v>
      </c>
      <c r="Y10" s="278">
        <v>8.93</v>
      </c>
      <c r="Z10" s="278">
        <v>10.119999999999999</v>
      </c>
      <c r="AA10" s="280"/>
      <c r="AB10" s="281" t="str">
        <f>IF(Table14[[#This Row],[NABERS Energy Rating 
(Stars)]]&gt;=4, "YES", "NO")</f>
        <v>YES</v>
      </c>
      <c r="AC10" s="290">
        <f t="shared" ref="AC10:AC41" si="1">IF(Z10="",0,MAX(0,IFERROR((H10-Z10)/H10,0)))</f>
        <v>0.32533333333333336</v>
      </c>
      <c r="AD10" s="282">
        <f>IF(E10="Whole Building",VLOOKUP(AC10,'Points Table'!$B$13:$C$36,2,TRUE),IF(OR(E10="Base Building", E10="Shopping Centre"),VLOOKUP(AC10,'Points Table'!$E$13:$F$33,2,TRUE),0))</f>
        <v>8</v>
      </c>
    </row>
    <row r="11" spans="2:30">
      <c r="B11" s="294"/>
      <c r="C11" s="294"/>
      <c r="D11" s="294"/>
      <c r="E11" s="294"/>
      <c r="F11" s="293"/>
      <c r="G11" s="293"/>
      <c r="H11" s="293"/>
      <c r="I11" s="293"/>
      <c r="J11" s="278"/>
      <c r="K11" s="279">
        <v>44228</v>
      </c>
      <c r="L11" s="265">
        <f t="shared" si="0"/>
        <v>44592</v>
      </c>
      <c r="M11" s="279"/>
      <c r="N11" s="278"/>
      <c r="O11" s="278"/>
      <c r="P11" s="278"/>
      <c r="Q11" s="278"/>
      <c r="R11" s="278"/>
      <c r="S11" s="278"/>
      <c r="T11" s="278"/>
      <c r="U11" s="278"/>
      <c r="V11" s="278"/>
      <c r="W11" s="278"/>
      <c r="X11" s="278"/>
      <c r="Y11" s="278"/>
      <c r="Z11" s="278"/>
      <c r="AA11" s="280"/>
      <c r="AB11" s="281" t="str">
        <f>IF(Table14[[#This Row],[NABERS Energy Rating 
(Stars)]]&gt;=4, "YES", "NO")</f>
        <v>NO</v>
      </c>
      <c r="AC11" s="290">
        <f t="shared" si="1"/>
        <v>0</v>
      </c>
      <c r="AD11" s="282">
        <f>IF(E11="Whole Building",VLOOKUP(AC11,'Points Table'!$B$13:$C$36,2,TRUE),IF(OR(E11="Base Building", E11="Shopping Centre"),VLOOKUP(AC11,'Points Table'!$E$13:$F$33,2,TRUE),0))</f>
        <v>0</v>
      </c>
    </row>
    <row r="12" spans="2:30">
      <c r="B12" s="294"/>
      <c r="C12" s="294"/>
      <c r="D12" s="294"/>
      <c r="E12" s="294"/>
      <c r="F12" s="293"/>
      <c r="G12" s="293"/>
      <c r="H12" s="293"/>
      <c r="I12" s="293"/>
      <c r="J12" s="278"/>
      <c r="K12" s="279"/>
      <c r="L12" s="265" t="str">
        <f t="shared" si="0"/>
        <v/>
      </c>
      <c r="M12" s="279"/>
      <c r="N12" s="278"/>
      <c r="O12" s="278"/>
      <c r="P12" s="278"/>
      <c r="Q12" s="278"/>
      <c r="R12" s="278"/>
      <c r="S12" s="278"/>
      <c r="T12" s="278"/>
      <c r="U12" s="278"/>
      <c r="V12" s="278"/>
      <c r="W12" s="278"/>
      <c r="X12" s="278"/>
      <c r="Y12" s="278"/>
      <c r="Z12" s="278"/>
      <c r="AA12" s="280"/>
      <c r="AB12" s="281" t="str">
        <f>IF(Table14[[#This Row],[NABERS Energy Rating 
(Stars)]]&gt;=4, "YES", "NO")</f>
        <v>NO</v>
      </c>
      <c r="AC12" s="290">
        <f t="shared" si="1"/>
        <v>0</v>
      </c>
      <c r="AD12" s="282">
        <f>IF(E12="Whole Building",VLOOKUP(AC12,'Points Table'!$B$13:$C$36,2,TRUE),IF(OR(E12="Base Building", E12="Shopping Centre"),VLOOKUP(AC12,'Points Table'!$E$13:$F$33,2,TRUE),0))</f>
        <v>0</v>
      </c>
    </row>
    <row r="13" spans="2:30">
      <c r="B13" s="294"/>
      <c r="C13" s="294"/>
      <c r="D13" s="294"/>
      <c r="E13" s="294"/>
      <c r="F13" s="293"/>
      <c r="G13" s="293"/>
      <c r="H13" s="293"/>
      <c r="I13" s="293"/>
      <c r="J13" s="278"/>
      <c r="K13" s="279"/>
      <c r="L13" s="265" t="str">
        <f t="shared" si="0"/>
        <v/>
      </c>
      <c r="M13" s="279"/>
      <c r="N13" s="278"/>
      <c r="O13" s="278"/>
      <c r="P13" s="278"/>
      <c r="Q13" s="278"/>
      <c r="R13" s="278"/>
      <c r="S13" s="278"/>
      <c r="T13" s="278"/>
      <c r="U13" s="278"/>
      <c r="V13" s="278"/>
      <c r="W13" s="278"/>
      <c r="X13" s="278"/>
      <c r="Y13" s="278"/>
      <c r="Z13" s="278"/>
      <c r="AA13" s="280"/>
      <c r="AB13" s="281" t="str">
        <f>IF(Table14[[#This Row],[NABERS Energy Rating 
(Stars)]]&gt;=4, "YES", "NO")</f>
        <v>NO</v>
      </c>
      <c r="AC13" s="290">
        <f t="shared" si="1"/>
        <v>0</v>
      </c>
      <c r="AD13" s="282">
        <f>IF(E13="Whole Building",VLOOKUP(AC13,'Points Table'!$B$13:$C$36,2,TRUE),IF(OR(E13="Base Building", E13="Shopping Centre"),VLOOKUP(AC13,'Points Table'!$E$13:$F$33,2,TRUE),0))</f>
        <v>0</v>
      </c>
    </row>
    <row r="14" spans="2:30">
      <c r="B14" s="294"/>
      <c r="C14" s="294"/>
      <c r="D14" s="294"/>
      <c r="E14" s="294"/>
      <c r="F14" s="293"/>
      <c r="G14" s="293"/>
      <c r="H14" s="293"/>
      <c r="I14" s="293"/>
      <c r="J14" s="278"/>
      <c r="K14" s="279"/>
      <c r="L14" s="265" t="str">
        <f t="shared" si="0"/>
        <v/>
      </c>
      <c r="M14" s="279"/>
      <c r="N14" s="278"/>
      <c r="O14" s="278"/>
      <c r="P14" s="278"/>
      <c r="Q14" s="278"/>
      <c r="R14" s="278"/>
      <c r="S14" s="278"/>
      <c r="T14" s="278"/>
      <c r="U14" s="278"/>
      <c r="V14" s="278"/>
      <c r="W14" s="278"/>
      <c r="X14" s="278"/>
      <c r="Y14" s="278"/>
      <c r="Z14" s="278"/>
      <c r="AA14" s="280"/>
      <c r="AB14" s="281" t="str">
        <f>IF(Table14[[#This Row],[NABERS Energy Rating 
(Stars)]]&gt;=4, "YES", "NO")</f>
        <v>NO</v>
      </c>
      <c r="AC14" s="290">
        <f t="shared" si="1"/>
        <v>0</v>
      </c>
      <c r="AD14" s="282">
        <f>IF(E14="Whole Building",VLOOKUP(AC14,'Points Table'!$B$13:$C$36,2,TRUE),IF(OR(E14="Base Building", E14="Shopping Centre"),VLOOKUP(AC14,'Points Table'!$E$13:$F$33,2,TRUE),0))</f>
        <v>0</v>
      </c>
    </row>
    <row r="15" spans="2:30">
      <c r="B15" s="294"/>
      <c r="C15" s="294"/>
      <c r="D15" s="294"/>
      <c r="E15" s="294"/>
      <c r="F15" s="293"/>
      <c r="G15" s="293"/>
      <c r="H15" s="293"/>
      <c r="I15" s="293"/>
      <c r="J15" s="278"/>
      <c r="K15" s="279"/>
      <c r="L15" s="265" t="str">
        <f t="shared" si="0"/>
        <v/>
      </c>
      <c r="M15" s="279"/>
      <c r="N15" s="278"/>
      <c r="O15" s="278"/>
      <c r="P15" s="278"/>
      <c r="Q15" s="278"/>
      <c r="R15" s="278"/>
      <c r="S15" s="278"/>
      <c r="T15" s="278"/>
      <c r="U15" s="278"/>
      <c r="V15" s="278"/>
      <c r="W15" s="278"/>
      <c r="X15" s="278"/>
      <c r="Y15" s="278"/>
      <c r="Z15" s="278">
        <v>5</v>
      </c>
      <c r="AA15" s="280"/>
      <c r="AB15" s="281" t="str">
        <f>IF(Table14[[#This Row],[NABERS Energy Rating 
(Stars)]]&gt;=4, "YES", "NO")</f>
        <v>NO</v>
      </c>
      <c r="AC15" s="290">
        <f t="shared" si="1"/>
        <v>0</v>
      </c>
      <c r="AD15" s="282">
        <f>IF(E15="Whole Building",VLOOKUP(AC15,'Points Table'!$B$13:$C$36,2,TRUE),IF(OR(E15="Base Building", E15="Shopping Centre"),VLOOKUP(AC15,'Points Table'!$E$13:$F$33,2,TRUE),0))</f>
        <v>0</v>
      </c>
    </row>
    <row r="16" spans="2:30">
      <c r="B16" s="294"/>
      <c r="C16" s="294"/>
      <c r="D16" s="294"/>
      <c r="E16" s="294" t="s">
        <v>764</v>
      </c>
      <c r="F16" s="293"/>
      <c r="G16" s="293"/>
      <c r="H16" s="293">
        <v>10</v>
      </c>
      <c r="I16" s="293"/>
      <c r="J16" s="278"/>
      <c r="K16" s="279"/>
      <c r="L16" s="265" t="str">
        <f t="shared" si="0"/>
        <v/>
      </c>
      <c r="M16" s="279"/>
      <c r="N16" s="278"/>
      <c r="O16" s="278"/>
      <c r="P16" s="278"/>
      <c r="Q16" s="278"/>
      <c r="R16" s="278"/>
      <c r="S16" s="278"/>
      <c r="T16" s="278"/>
      <c r="U16" s="278"/>
      <c r="V16" s="278"/>
      <c r="W16" s="278"/>
      <c r="X16" s="278"/>
      <c r="Y16" s="278"/>
      <c r="Z16" s="278">
        <v>5</v>
      </c>
      <c r="AA16" s="280"/>
      <c r="AB16" s="281" t="str">
        <f>IF(Table14[[#This Row],[NABERS Energy Rating 
(Stars)]]&gt;=4, "YES", "NO")</f>
        <v>NO</v>
      </c>
      <c r="AC16" s="290">
        <f t="shared" si="1"/>
        <v>0.5</v>
      </c>
      <c r="AD16" s="282">
        <f>IF(E16="Whole Building",VLOOKUP(AC16,'Points Table'!$B$13:$C$36,2,TRUE),IF(OR(E16="Base Building", E16="Shopping Centre"),VLOOKUP(AC16,'Points Table'!$E$13:$F$33,2,TRUE),0))</f>
        <v>10</v>
      </c>
    </row>
    <row r="17" spans="2:30">
      <c r="B17" s="294"/>
      <c r="C17" s="294"/>
      <c r="D17" s="294"/>
      <c r="E17" s="294"/>
      <c r="F17" s="293"/>
      <c r="G17" s="293"/>
      <c r="H17" s="293"/>
      <c r="I17" s="293"/>
      <c r="J17" s="278"/>
      <c r="K17" s="279"/>
      <c r="L17" s="265" t="str">
        <f t="shared" si="0"/>
        <v/>
      </c>
      <c r="M17" s="279"/>
      <c r="N17" s="278"/>
      <c r="O17" s="278"/>
      <c r="P17" s="278"/>
      <c r="Q17" s="278"/>
      <c r="R17" s="278"/>
      <c r="S17" s="278"/>
      <c r="T17" s="278"/>
      <c r="U17" s="278"/>
      <c r="V17" s="278"/>
      <c r="W17" s="278"/>
      <c r="X17" s="278"/>
      <c r="Y17" s="278"/>
      <c r="Z17" s="278"/>
      <c r="AA17" s="280"/>
      <c r="AB17" s="281" t="str">
        <f>IF(Table14[[#This Row],[NABERS Energy Rating 
(Stars)]]&gt;=4, "YES", "NO")</f>
        <v>NO</v>
      </c>
      <c r="AC17" s="290">
        <f t="shared" si="1"/>
        <v>0</v>
      </c>
      <c r="AD17" s="282">
        <f>IF(E17="Whole Building",VLOOKUP(AC17,'Points Table'!$B$13:$C$36,2,TRUE),IF(OR(E17="Base Building", E17="Shopping Centre"),VLOOKUP(AC17,'Points Table'!$E$13:$F$33,2,TRUE),0))</f>
        <v>0</v>
      </c>
    </row>
    <row r="18" spans="2:30">
      <c r="B18" s="294"/>
      <c r="C18" s="294"/>
      <c r="D18" s="294"/>
      <c r="E18" s="294"/>
      <c r="F18" s="293"/>
      <c r="G18" s="293"/>
      <c r="H18" s="293"/>
      <c r="I18" s="293"/>
      <c r="J18" s="278"/>
      <c r="K18" s="279"/>
      <c r="L18" s="265" t="str">
        <f t="shared" si="0"/>
        <v/>
      </c>
      <c r="M18" s="279"/>
      <c r="N18" s="278"/>
      <c r="O18" s="278"/>
      <c r="P18" s="278"/>
      <c r="Q18" s="278"/>
      <c r="R18" s="278"/>
      <c r="S18" s="278"/>
      <c r="T18" s="278"/>
      <c r="U18" s="278"/>
      <c r="V18" s="278"/>
      <c r="W18" s="278"/>
      <c r="X18" s="278"/>
      <c r="Y18" s="278"/>
      <c r="Z18" s="278"/>
      <c r="AA18" s="280"/>
      <c r="AB18" s="281" t="str">
        <f>IF(Table14[[#This Row],[NABERS Energy Rating 
(Stars)]]&gt;=4, "YES", "NO")</f>
        <v>NO</v>
      </c>
      <c r="AC18" s="290">
        <f t="shared" si="1"/>
        <v>0</v>
      </c>
      <c r="AD18" s="282">
        <f>IF(E18="Whole Building",VLOOKUP(AC18,'Points Table'!$B$13:$C$36,2,TRUE),IF(OR(E18="Base Building", E18="Shopping Centre"),VLOOKUP(AC18,'Points Table'!$E$13:$F$33,2,TRUE),0))</f>
        <v>0</v>
      </c>
    </row>
    <row r="19" spans="2:30">
      <c r="B19" s="294"/>
      <c r="C19" s="294"/>
      <c r="D19" s="294"/>
      <c r="E19" s="294"/>
      <c r="F19" s="293"/>
      <c r="G19" s="293"/>
      <c r="H19" s="293"/>
      <c r="I19" s="293"/>
      <c r="J19" s="278"/>
      <c r="K19" s="279"/>
      <c r="L19" s="265" t="str">
        <f t="shared" si="0"/>
        <v/>
      </c>
      <c r="M19" s="279"/>
      <c r="N19" s="278"/>
      <c r="O19" s="278"/>
      <c r="P19" s="278"/>
      <c r="Q19" s="278"/>
      <c r="R19" s="278"/>
      <c r="S19" s="278"/>
      <c r="T19" s="278"/>
      <c r="U19" s="278"/>
      <c r="V19" s="278"/>
      <c r="W19" s="278"/>
      <c r="X19" s="278"/>
      <c r="Y19" s="278"/>
      <c r="Z19" s="278"/>
      <c r="AA19" s="280"/>
      <c r="AB19" s="281" t="str">
        <f>IF(Table14[[#This Row],[NABERS Energy Rating 
(Stars)]]&gt;=4, "YES", "NO")</f>
        <v>NO</v>
      </c>
      <c r="AC19" s="290">
        <f t="shared" si="1"/>
        <v>0</v>
      </c>
      <c r="AD19" s="282">
        <f>IF(E19="Whole Building",VLOOKUP(AC19,'Points Table'!$B$13:$C$36,2,TRUE),IF(OR(E19="Base Building", E19="Shopping Centre"),VLOOKUP(AC19,'Points Table'!$E$13:$F$33,2,TRUE),0))</f>
        <v>0</v>
      </c>
    </row>
    <row r="20" spans="2:30">
      <c r="B20" s="294"/>
      <c r="C20" s="294"/>
      <c r="D20" s="294"/>
      <c r="E20" s="294"/>
      <c r="F20" s="293"/>
      <c r="G20" s="293"/>
      <c r="H20" s="293"/>
      <c r="I20" s="293"/>
      <c r="J20" s="278"/>
      <c r="K20" s="279"/>
      <c r="L20" s="265" t="str">
        <f t="shared" si="0"/>
        <v/>
      </c>
      <c r="M20" s="279"/>
      <c r="N20" s="278"/>
      <c r="O20" s="278"/>
      <c r="P20" s="278"/>
      <c r="Q20" s="278"/>
      <c r="R20" s="278"/>
      <c r="S20" s="278"/>
      <c r="T20" s="278"/>
      <c r="U20" s="278"/>
      <c r="V20" s="278"/>
      <c r="W20" s="278"/>
      <c r="X20" s="278"/>
      <c r="Y20" s="278"/>
      <c r="Z20" s="278"/>
      <c r="AA20" s="280"/>
      <c r="AB20" s="281" t="str">
        <f>IF(Table14[[#This Row],[NABERS Energy Rating 
(Stars)]]&gt;=4, "YES", "NO")</f>
        <v>NO</v>
      </c>
      <c r="AC20" s="290">
        <f t="shared" si="1"/>
        <v>0</v>
      </c>
      <c r="AD20" s="282">
        <f>IF(E20="Whole Building",VLOOKUP(AC20,'Points Table'!$B$13:$C$36,2,TRUE),IF(OR(E20="Base Building", E20="Shopping Centre"),VLOOKUP(AC20,'Points Table'!$E$13:$F$33,2,TRUE),0))</f>
        <v>0</v>
      </c>
    </row>
    <row r="21" spans="2:30">
      <c r="B21" s="294"/>
      <c r="C21" s="294"/>
      <c r="D21" s="294"/>
      <c r="E21" s="294"/>
      <c r="F21" s="293"/>
      <c r="G21" s="293"/>
      <c r="H21" s="293"/>
      <c r="I21" s="293"/>
      <c r="J21" s="278"/>
      <c r="K21" s="279"/>
      <c r="L21" s="265" t="str">
        <f t="shared" si="0"/>
        <v/>
      </c>
      <c r="M21" s="279"/>
      <c r="N21" s="278"/>
      <c r="O21" s="278"/>
      <c r="P21" s="278"/>
      <c r="Q21" s="278"/>
      <c r="R21" s="278"/>
      <c r="S21" s="278"/>
      <c r="T21" s="278"/>
      <c r="U21" s="278"/>
      <c r="V21" s="278"/>
      <c r="W21" s="278"/>
      <c r="X21" s="278"/>
      <c r="Y21" s="278"/>
      <c r="Z21" s="278"/>
      <c r="AA21" s="280"/>
      <c r="AB21" s="281" t="str">
        <f>IF(Table14[[#This Row],[NABERS Energy Rating 
(Stars)]]&gt;=4, "YES", "NO")</f>
        <v>NO</v>
      </c>
      <c r="AC21" s="290">
        <f t="shared" si="1"/>
        <v>0</v>
      </c>
      <c r="AD21" s="282">
        <f>IF(E21="Whole Building",VLOOKUP(AC21,'Points Table'!$B$13:$C$36,2,TRUE),IF(OR(E21="Base Building", E21="Shopping Centre"),VLOOKUP(AC21,'Points Table'!$E$13:$F$33,2,TRUE),0))</f>
        <v>0</v>
      </c>
    </row>
    <row r="22" spans="2:30">
      <c r="B22" s="294"/>
      <c r="C22" s="294"/>
      <c r="D22" s="294"/>
      <c r="E22" s="294"/>
      <c r="F22" s="293"/>
      <c r="G22" s="293"/>
      <c r="H22" s="293"/>
      <c r="I22" s="293"/>
      <c r="J22" s="278"/>
      <c r="K22" s="279"/>
      <c r="L22" s="265" t="str">
        <f t="shared" si="0"/>
        <v/>
      </c>
      <c r="M22" s="279"/>
      <c r="N22" s="278"/>
      <c r="O22" s="278"/>
      <c r="P22" s="278"/>
      <c r="Q22" s="278"/>
      <c r="R22" s="278"/>
      <c r="S22" s="278"/>
      <c r="T22" s="278"/>
      <c r="U22" s="278"/>
      <c r="V22" s="278"/>
      <c r="W22" s="278"/>
      <c r="X22" s="278"/>
      <c r="Y22" s="278"/>
      <c r="Z22" s="278"/>
      <c r="AA22" s="280"/>
      <c r="AB22" s="281" t="str">
        <f>IF(Table14[[#This Row],[NABERS Energy Rating 
(Stars)]]&gt;=4, "YES", "NO")</f>
        <v>NO</v>
      </c>
      <c r="AC22" s="290">
        <f t="shared" si="1"/>
        <v>0</v>
      </c>
      <c r="AD22" s="282">
        <f>IF(E22="Whole Building",VLOOKUP(AC22,'Points Table'!$B$13:$C$36,2,TRUE),IF(OR(E22="Base Building", E22="Shopping Centre"),VLOOKUP(AC22,'Points Table'!$E$13:$F$33,2,TRUE),0))</f>
        <v>0</v>
      </c>
    </row>
    <row r="23" spans="2:30">
      <c r="B23" s="294"/>
      <c r="C23" s="294"/>
      <c r="D23" s="294"/>
      <c r="E23" s="294"/>
      <c r="F23" s="293"/>
      <c r="G23" s="293"/>
      <c r="H23" s="293"/>
      <c r="I23" s="293"/>
      <c r="J23" s="278"/>
      <c r="K23" s="279"/>
      <c r="L23" s="265" t="str">
        <f t="shared" si="0"/>
        <v/>
      </c>
      <c r="M23" s="279"/>
      <c r="N23" s="278"/>
      <c r="O23" s="278"/>
      <c r="P23" s="278"/>
      <c r="Q23" s="278"/>
      <c r="R23" s="278"/>
      <c r="S23" s="278"/>
      <c r="T23" s="278"/>
      <c r="U23" s="278"/>
      <c r="V23" s="278"/>
      <c r="W23" s="278"/>
      <c r="X23" s="278"/>
      <c r="Y23" s="278"/>
      <c r="Z23" s="278"/>
      <c r="AA23" s="280"/>
      <c r="AB23" s="281" t="str">
        <f>IF(Table14[[#This Row],[NABERS Energy Rating 
(Stars)]]&gt;=4, "YES", "NO")</f>
        <v>NO</v>
      </c>
      <c r="AC23" s="290">
        <f t="shared" si="1"/>
        <v>0</v>
      </c>
      <c r="AD23" s="282">
        <f>IF(E23="Whole Building",VLOOKUP(AC23,'Points Table'!$B$13:$C$36,2,TRUE),IF(OR(E23="Base Building", E23="Shopping Centre"),VLOOKUP(AC23,'Points Table'!$E$13:$F$33,2,TRUE),0))</f>
        <v>0</v>
      </c>
    </row>
    <row r="24" spans="2:30">
      <c r="B24" s="294"/>
      <c r="C24" s="294"/>
      <c r="D24" s="294"/>
      <c r="E24" s="294"/>
      <c r="F24" s="293"/>
      <c r="G24" s="293"/>
      <c r="H24" s="293"/>
      <c r="I24" s="293"/>
      <c r="J24" s="278"/>
      <c r="K24" s="278"/>
      <c r="L24" s="265" t="str">
        <f t="shared" si="0"/>
        <v/>
      </c>
      <c r="M24" s="279"/>
      <c r="N24" s="278"/>
      <c r="O24" s="278"/>
      <c r="P24" s="278"/>
      <c r="Q24" s="278"/>
      <c r="R24" s="278"/>
      <c r="S24" s="278"/>
      <c r="T24" s="278"/>
      <c r="U24" s="278"/>
      <c r="V24" s="278"/>
      <c r="W24" s="278"/>
      <c r="X24" s="278"/>
      <c r="Y24" s="278"/>
      <c r="Z24" s="278"/>
      <c r="AA24" s="280"/>
      <c r="AB24" s="281" t="str">
        <f>IF(Table14[[#This Row],[NABERS Energy Rating 
(Stars)]]&gt;=4, "YES", "NO")</f>
        <v>NO</v>
      </c>
      <c r="AC24" s="290">
        <f t="shared" si="1"/>
        <v>0</v>
      </c>
      <c r="AD24" s="282">
        <f>IF(E24="Whole Building",VLOOKUP(AC24,'Points Table'!$B$13:$C$36,2,TRUE),IF(OR(E24="Base Building", E24="Shopping Centre"),VLOOKUP(AC24,'Points Table'!$E$13:$F$33,2,TRUE),0))</f>
        <v>0</v>
      </c>
    </row>
    <row r="25" spans="2:30">
      <c r="B25" s="294"/>
      <c r="C25" s="294"/>
      <c r="D25" s="294"/>
      <c r="E25" s="294"/>
      <c r="F25" s="293"/>
      <c r="G25" s="293"/>
      <c r="H25" s="293"/>
      <c r="I25" s="293"/>
      <c r="J25" s="278"/>
      <c r="K25" s="279"/>
      <c r="L25" s="265" t="str">
        <f t="shared" si="0"/>
        <v/>
      </c>
      <c r="M25" s="279"/>
      <c r="N25" s="278"/>
      <c r="O25" s="278"/>
      <c r="P25" s="278"/>
      <c r="Q25" s="278"/>
      <c r="R25" s="278"/>
      <c r="S25" s="278"/>
      <c r="T25" s="278"/>
      <c r="U25" s="278"/>
      <c r="V25" s="278"/>
      <c r="W25" s="278"/>
      <c r="X25" s="278"/>
      <c r="Y25" s="278"/>
      <c r="Z25" s="278"/>
      <c r="AA25" s="280"/>
      <c r="AB25" s="281" t="str">
        <f>IF(Table14[[#This Row],[NABERS Energy Rating 
(Stars)]]&gt;=4, "YES", "NO")</f>
        <v>NO</v>
      </c>
      <c r="AC25" s="290">
        <f t="shared" si="1"/>
        <v>0</v>
      </c>
      <c r="AD25" s="282">
        <f>IF(E25="Whole Building",VLOOKUP(AC25,'Points Table'!$B$13:$C$36,2,TRUE),IF(OR(E25="Base Building", E25="Shopping Centre"),VLOOKUP(AC25,'Points Table'!$E$13:$F$33,2,TRUE),0))</f>
        <v>0</v>
      </c>
    </row>
    <row r="26" spans="2:30">
      <c r="B26" s="294"/>
      <c r="C26" s="294"/>
      <c r="D26" s="294"/>
      <c r="E26" s="294"/>
      <c r="F26" s="293"/>
      <c r="G26" s="293"/>
      <c r="H26" s="293"/>
      <c r="I26" s="293"/>
      <c r="J26" s="278"/>
      <c r="K26" s="279"/>
      <c r="L26" s="265" t="str">
        <f t="shared" si="0"/>
        <v/>
      </c>
      <c r="M26" s="279"/>
      <c r="N26" s="278"/>
      <c r="O26" s="278"/>
      <c r="P26" s="278"/>
      <c r="Q26" s="278"/>
      <c r="R26" s="278"/>
      <c r="S26" s="278"/>
      <c r="T26" s="278"/>
      <c r="U26" s="278"/>
      <c r="V26" s="278"/>
      <c r="W26" s="278"/>
      <c r="X26" s="278"/>
      <c r="Y26" s="278"/>
      <c r="Z26" s="278"/>
      <c r="AA26" s="280"/>
      <c r="AB26" s="281" t="str">
        <f>IF(Table14[[#This Row],[NABERS Energy Rating 
(Stars)]]&gt;=4, "YES", "NO")</f>
        <v>NO</v>
      </c>
      <c r="AC26" s="290">
        <f t="shared" si="1"/>
        <v>0</v>
      </c>
      <c r="AD26" s="282">
        <f>IF(E26="Whole Building",VLOOKUP(AC26,'Points Table'!$B$13:$C$36,2,TRUE),IF(OR(E26="Base Building", E26="Shopping Centre"),VLOOKUP(AC26,'Points Table'!$E$13:$F$33,2,TRUE),0))</f>
        <v>0</v>
      </c>
    </row>
    <row r="27" spans="2:30">
      <c r="B27" s="294"/>
      <c r="C27" s="294"/>
      <c r="D27" s="294"/>
      <c r="E27" s="294"/>
      <c r="F27" s="293"/>
      <c r="G27" s="293"/>
      <c r="H27" s="293"/>
      <c r="I27" s="293"/>
      <c r="J27" s="278"/>
      <c r="K27" s="279"/>
      <c r="L27" s="265" t="str">
        <f t="shared" si="0"/>
        <v/>
      </c>
      <c r="M27" s="279"/>
      <c r="N27" s="278"/>
      <c r="O27" s="278"/>
      <c r="P27" s="278"/>
      <c r="Q27" s="278"/>
      <c r="R27" s="278"/>
      <c r="S27" s="278"/>
      <c r="T27" s="278"/>
      <c r="U27" s="278"/>
      <c r="V27" s="278"/>
      <c r="W27" s="278"/>
      <c r="X27" s="278"/>
      <c r="Y27" s="278"/>
      <c r="Z27" s="278"/>
      <c r="AA27" s="280"/>
      <c r="AB27" s="281" t="str">
        <f>IF(Table14[[#This Row],[NABERS Energy Rating 
(Stars)]]&gt;=4, "YES", "NO")</f>
        <v>NO</v>
      </c>
      <c r="AC27" s="290">
        <f t="shared" si="1"/>
        <v>0</v>
      </c>
      <c r="AD27" s="282">
        <f>IF(E27="Whole Building",VLOOKUP(AC27,'Points Table'!$B$13:$C$36,2,TRUE),IF(OR(E27="Base Building", E27="Shopping Centre"),VLOOKUP(AC27,'Points Table'!$E$13:$F$33,2,TRUE),0))</f>
        <v>0</v>
      </c>
    </row>
    <row r="28" spans="2:30">
      <c r="B28" s="294"/>
      <c r="C28" s="294"/>
      <c r="D28" s="294"/>
      <c r="E28" s="294"/>
      <c r="F28" s="293"/>
      <c r="G28" s="293"/>
      <c r="H28" s="293"/>
      <c r="I28" s="293"/>
      <c r="J28" s="278"/>
      <c r="K28" s="279"/>
      <c r="L28" s="265" t="str">
        <f t="shared" si="0"/>
        <v/>
      </c>
      <c r="M28" s="279"/>
      <c r="N28" s="278"/>
      <c r="O28" s="278"/>
      <c r="P28" s="278"/>
      <c r="Q28" s="278"/>
      <c r="R28" s="278"/>
      <c r="S28" s="278"/>
      <c r="T28" s="278"/>
      <c r="U28" s="278"/>
      <c r="V28" s="278"/>
      <c r="W28" s="278"/>
      <c r="X28" s="278"/>
      <c r="Y28" s="278"/>
      <c r="Z28" s="278"/>
      <c r="AA28" s="280"/>
      <c r="AB28" s="281" t="str">
        <f>IF(Table14[[#This Row],[NABERS Energy Rating 
(Stars)]]&gt;=4, "YES", "NO")</f>
        <v>NO</v>
      </c>
      <c r="AC28" s="290">
        <f t="shared" si="1"/>
        <v>0</v>
      </c>
      <c r="AD28" s="282">
        <f>IF(E28="Whole Building",VLOOKUP(AC28,'Points Table'!$B$13:$C$36,2,TRUE),IF(OR(E28="Base Building", E28="Shopping Centre"),VLOOKUP(AC28,'Points Table'!$E$13:$F$33,2,TRUE),0))</f>
        <v>0</v>
      </c>
    </row>
    <row r="29" spans="2:30">
      <c r="B29" s="294"/>
      <c r="C29" s="294"/>
      <c r="D29" s="294"/>
      <c r="E29" s="294"/>
      <c r="F29" s="293"/>
      <c r="G29" s="293"/>
      <c r="H29" s="293"/>
      <c r="I29" s="293"/>
      <c r="J29" s="278"/>
      <c r="K29" s="279"/>
      <c r="L29" s="265" t="str">
        <f t="shared" si="0"/>
        <v/>
      </c>
      <c r="M29" s="279"/>
      <c r="N29" s="278"/>
      <c r="O29" s="278"/>
      <c r="P29" s="278"/>
      <c r="Q29" s="278"/>
      <c r="R29" s="278"/>
      <c r="S29" s="278"/>
      <c r="T29" s="278"/>
      <c r="U29" s="278"/>
      <c r="V29" s="278"/>
      <c r="W29" s="278"/>
      <c r="X29" s="278"/>
      <c r="Y29" s="278"/>
      <c r="Z29" s="278"/>
      <c r="AA29" s="280"/>
      <c r="AB29" s="281" t="str">
        <f>IF(Table14[[#This Row],[NABERS Energy Rating 
(Stars)]]&gt;=4, "YES", "NO")</f>
        <v>NO</v>
      </c>
      <c r="AC29" s="290">
        <f t="shared" si="1"/>
        <v>0</v>
      </c>
      <c r="AD29" s="282">
        <f>IF(E29="Whole Building",VLOOKUP(AC29,'Points Table'!$B$13:$C$36,2,TRUE),IF(OR(E29="Base Building", E29="Shopping Centre"),VLOOKUP(AC29,'Points Table'!$E$13:$F$33,2,TRUE),0))</f>
        <v>0</v>
      </c>
    </row>
    <row r="30" spans="2:30">
      <c r="B30" s="294"/>
      <c r="C30" s="294"/>
      <c r="D30" s="294"/>
      <c r="E30" s="294"/>
      <c r="F30" s="293"/>
      <c r="G30" s="293"/>
      <c r="H30" s="293"/>
      <c r="I30" s="293"/>
      <c r="J30" s="278"/>
      <c r="K30" s="279"/>
      <c r="L30" s="265" t="str">
        <f t="shared" si="0"/>
        <v/>
      </c>
      <c r="M30" s="279"/>
      <c r="N30" s="278"/>
      <c r="O30" s="278"/>
      <c r="P30" s="278"/>
      <c r="Q30" s="278"/>
      <c r="R30" s="278"/>
      <c r="S30" s="278"/>
      <c r="T30" s="278"/>
      <c r="U30" s="278"/>
      <c r="V30" s="278"/>
      <c r="W30" s="278"/>
      <c r="X30" s="278"/>
      <c r="Y30" s="278"/>
      <c r="Z30" s="278"/>
      <c r="AA30" s="280"/>
      <c r="AB30" s="281" t="str">
        <f>IF(Table14[[#This Row],[NABERS Energy Rating 
(Stars)]]&gt;=4, "YES", "NO")</f>
        <v>NO</v>
      </c>
      <c r="AC30" s="290">
        <f t="shared" si="1"/>
        <v>0</v>
      </c>
      <c r="AD30" s="282">
        <f>IF(E30="Whole Building",VLOOKUP(AC30,'Points Table'!$B$13:$C$36,2,TRUE),IF(OR(E30="Base Building", E30="Shopping Centre"),VLOOKUP(AC30,'Points Table'!$E$13:$F$33,2,TRUE),0))</f>
        <v>0</v>
      </c>
    </row>
    <row r="31" spans="2:30">
      <c r="B31" s="294"/>
      <c r="C31" s="294"/>
      <c r="D31" s="294"/>
      <c r="E31" s="294"/>
      <c r="F31" s="293"/>
      <c r="G31" s="293"/>
      <c r="H31" s="293"/>
      <c r="I31" s="293"/>
      <c r="J31" s="278"/>
      <c r="K31" s="278"/>
      <c r="L31" s="265" t="str">
        <f t="shared" si="0"/>
        <v/>
      </c>
      <c r="M31" s="279"/>
      <c r="N31" s="278"/>
      <c r="O31" s="278"/>
      <c r="P31" s="278"/>
      <c r="Q31" s="278"/>
      <c r="R31" s="278"/>
      <c r="S31" s="278"/>
      <c r="T31" s="278"/>
      <c r="U31" s="278"/>
      <c r="V31" s="278"/>
      <c r="W31" s="278"/>
      <c r="X31" s="278"/>
      <c r="Y31" s="278"/>
      <c r="Z31" s="278"/>
      <c r="AA31" s="280"/>
      <c r="AB31" s="281" t="str">
        <f>IF(Table14[[#This Row],[NABERS Energy Rating 
(Stars)]]&gt;=4, "YES", "NO")</f>
        <v>NO</v>
      </c>
      <c r="AC31" s="290">
        <f t="shared" si="1"/>
        <v>0</v>
      </c>
      <c r="AD31" s="282">
        <f>IF(E31="Whole Building",VLOOKUP(AC31,'Points Table'!$B$13:$C$36,2,TRUE),IF(OR(E31="Base Building", E31="Shopping Centre"),VLOOKUP(AC31,'Points Table'!$E$13:$F$33,2,TRUE),0))</f>
        <v>0</v>
      </c>
    </row>
    <row r="32" spans="2:30">
      <c r="B32" s="294"/>
      <c r="C32" s="294"/>
      <c r="D32" s="294"/>
      <c r="E32" s="294"/>
      <c r="F32" s="293"/>
      <c r="G32" s="293"/>
      <c r="H32" s="293"/>
      <c r="I32" s="293"/>
      <c r="J32" s="278"/>
      <c r="K32" s="279"/>
      <c r="L32" s="265" t="str">
        <f t="shared" si="0"/>
        <v/>
      </c>
      <c r="M32" s="279"/>
      <c r="N32" s="278"/>
      <c r="O32" s="278"/>
      <c r="P32" s="278"/>
      <c r="Q32" s="278"/>
      <c r="R32" s="278"/>
      <c r="S32" s="278"/>
      <c r="T32" s="278"/>
      <c r="U32" s="278"/>
      <c r="V32" s="278"/>
      <c r="W32" s="278"/>
      <c r="X32" s="278"/>
      <c r="Y32" s="278"/>
      <c r="Z32" s="278"/>
      <c r="AA32" s="280"/>
      <c r="AB32" s="281" t="str">
        <f>IF(Table14[[#This Row],[NABERS Energy Rating 
(Stars)]]&gt;=4, "YES", "NO")</f>
        <v>NO</v>
      </c>
      <c r="AC32" s="290">
        <f t="shared" si="1"/>
        <v>0</v>
      </c>
      <c r="AD32" s="282">
        <f>IF(E32="Whole Building",VLOOKUP(AC32,'Points Table'!$B$13:$C$36,2,TRUE),IF(OR(E32="Base Building", E32="Shopping Centre"),VLOOKUP(AC32,'Points Table'!$E$13:$F$33,2,TRUE),0))</f>
        <v>0</v>
      </c>
    </row>
    <row r="33" spans="2:30">
      <c r="B33" s="294"/>
      <c r="C33" s="294"/>
      <c r="D33" s="294"/>
      <c r="E33" s="294"/>
      <c r="F33" s="293"/>
      <c r="G33" s="293"/>
      <c r="H33" s="293"/>
      <c r="I33" s="293"/>
      <c r="J33" s="278"/>
      <c r="K33" s="279"/>
      <c r="L33" s="265" t="str">
        <f t="shared" si="0"/>
        <v/>
      </c>
      <c r="M33" s="279"/>
      <c r="N33" s="278"/>
      <c r="O33" s="278"/>
      <c r="P33" s="278"/>
      <c r="Q33" s="278"/>
      <c r="R33" s="278"/>
      <c r="S33" s="278"/>
      <c r="T33" s="278"/>
      <c r="U33" s="278"/>
      <c r="V33" s="278"/>
      <c r="W33" s="278"/>
      <c r="X33" s="278"/>
      <c r="Y33" s="278"/>
      <c r="Z33" s="278"/>
      <c r="AA33" s="280"/>
      <c r="AB33" s="281" t="str">
        <f>IF(Table14[[#This Row],[NABERS Energy Rating 
(Stars)]]&gt;=4, "YES", "NO")</f>
        <v>NO</v>
      </c>
      <c r="AC33" s="290">
        <f t="shared" si="1"/>
        <v>0</v>
      </c>
      <c r="AD33" s="282">
        <f>IF(E33="Whole Building",VLOOKUP(AC33,'Points Table'!$B$13:$C$36,2,TRUE),IF(OR(E33="Base Building", E33="Shopping Centre"),VLOOKUP(AC33,'Points Table'!$E$13:$F$33,2,TRUE),0))</f>
        <v>0</v>
      </c>
    </row>
    <row r="34" spans="2:30">
      <c r="B34" s="294"/>
      <c r="C34" s="294"/>
      <c r="D34" s="294"/>
      <c r="E34" s="294"/>
      <c r="F34" s="293"/>
      <c r="G34" s="293"/>
      <c r="H34" s="293"/>
      <c r="I34" s="293"/>
      <c r="J34" s="278"/>
      <c r="K34" s="278"/>
      <c r="L34" s="265" t="str">
        <f t="shared" si="0"/>
        <v/>
      </c>
      <c r="M34" s="279"/>
      <c r="N34" s="278"/>
      <c r="O34" s="278"/>
      <c r="P34" s="278"/>
      <c r="Q34" s="278"/>
      <c r="R34" s="278"/>
      <c r="S34" s="278"/>
      <c r="T34" s="278"/>
      <c r="U34" s="278"/>
      <c r="V34" s="278"/>
      <c r="W34" s="278"/>
      <c r="X34" s="278"/>
      <c r="Y34" s="278"/>
      <c r="Z34" s="278"/>
      <c r="AA34" s="280"/>
      <c r="AB34" s="281" t="str">
        <f>IF(Table14[[#This Row],[NABERS Energy Rating 
(Stars)]]&gt;=4, "YES", "NO")</f>
        <v>NO</v>
      </c>
      <c r="AC34" s="290">
        <f t="shared" si="1"/>
        <v>0</v>
      </c>
      <c r="AD34" s="282">
        <f>IF(E34="Whole Building",VLOOKUP(AC34,'Points Table'!$B$13:$C$36,2,TRUE),IF(OR(E34="Base Building", E34="Shopping Centre"),VLOOKUP(AC34,'Points Table'!$E$13:$F$33,2,TRUE),0))</f>
        <v>0</v>
      </c>
    </row>
    <row r="35" spans="2:30">
      <c r="B35" s="294"/>
      <c r="C35" s="294"/>
      <c r="D35" s="294"/>
      <c r="E35" s="294"/>
      <c r="F35" s="293"/>
      <c r="G35" s="293"/>
      <c r="H35" s="293"/>
      <c r="I35" s="293"/>
      <c r="J35" s="278"/>
      <c r="K35" s="279"/>
      <c r="L35" s="265" t="str">
        <f t="shared" si="0"/>
        <v/>
      </c>
      <c r="M35" s="279"/>
      <c r="N35" s="278"/>
      <c r="O35" s="278"/>
      <c r="P35" s="278"/>
      <c r="Q35" s="278"/>
      <c r="R35" s="278"/>
      <c r="S35" s="278"/>
      <c r="T35" s="278"/>
      <c r="U35" s="278"/>
      <c r="V35" s="278"/>
      <c r="W35" s="278"/>
      <c r="X35" s="278"/>
      <c r="Y35" s="278"/>
      <c r="Z35" s="278"/>
      <c r="AA35" s="280"/>
      <c r="AB35" s="281" t="str">
        <f>IF(Table14[[#This Row],[NABERS Energy Rating 
(Stars)]]&gt;=4, "YES", "NO")</f>
        <v>NO</v>
      </c>
      <c r="AC35" s="290">
        <f t="shared" si="1"/>
        <v>0</v>
      </c>
      <c r="AD35" s="282">
        <f>IF(E35="Whole Building",VLOOKUP(AC35,'Points Table'!$B$13:$C$36,2,TRUE),IF(OR(E35="Base Building", E35="Shopping Centre"),VLOOKUP(AC35,'Points Table'!$E$13:$F$33,2,TRUE),0))</f>
        <v>0</v>
      </c>
    </row>
    <row r="36" spans="2:30">
      <c r="B36" s="294"/>
      <c r="C36" s="294"/>
      <c r="D36" s="294"/>
      <c r="E36" s="294"/>
      <c r="F36" s="293"/>
      <c r="G36" s="293"/>
      <c r="H36" s="293"/>
      <c r="I36" s="293"/>
      <c r="J36" s="278"/>
      <c r="K36" s="279"/>
      <c r="L36" s="265" t="str">
        <f t="shared" si="0"/>
        <v/>
      </c>
      <c r="M36" s="279"/>
      <c r="N36" s="278"/>
      <c r="O36" s="278"/>
      <c r="P36" s="278"/>
      <c r="Q36" s="278"/>
      <c r="R36" s="278"/>
      <c r="S36" s="278"/>
      <c r="T36" s="278"/>
      <c r="U36" s="278"/>
      <c r="V36" s="278"/>
      <c r="W36" s="278"/>
      <c r="X36" s="278"/>
      <c r="Y36" s="278"/>
      <c r="Z36" s="278"/>
      <c r="AA36" s="280"/>
      <c r="AB36" s="281" t="str">
        <f>IF(Table14[[#This Row],[NABERS Energy Rating 
(Stars)]]&gt;=4, "YES", "NO")</f>
        <v>NO</v>
      </c>
      <c r="AC36" s="290">
        <f t="shared" si="1"/>
        <v>0</v>
      </c>
      <c r="AD36" s="282">
        <f>IF(E36="Whole Building",VLOOKUP(AC36,'Points Table'!$B$13:$C$36,2,TRUE),IF(OR(E36="Base Building", E36="Shopping Centre"),VLOOKUP(AC36,'Points Table'!$E$13:$F$33,2,TRUE),0))</f>
        <v>0</v>
      </c>
    </row>
    <row r="37" spans="2:30">
      <c r="B37" s="294"/>
      <c r="C37" s="294"/>
      <c r="D37" s="294"/>
      <c r="E37" s="294"/>
      <c r="F37" s="293"/>
      <c r="G37" s="293"/>
      <c r="H37" s="293"/>
      <c r="I37" s="293"/>
      <c r="J37" s="278"/>
      <c r="K37" s="279"/>
      <c r="L37" s="265" t="str">
        <f t="shared" si="0"/>
        <v/>
      </c>
      <c r="M37" s="279"/>
      <c r="N37" s="278"/>
      <c r="O37" s="278"/>
      <c r="P37" s="278"/>
      <c r="Q37" s="278"/>
      <c r="R37" s="278"/>
      <c r="S37" s="278"/>
      <c r="T37" s="278"/>
      <c r="U37" s="278"/>
      <c r="V37" s="278"/>
      <c r="W37" s="278"/>
      <c r="X37" s="278"/>
      <c r="Y37" s="278"/>
      <c r="Z37" s="278"/>
      <c r="AA37" s="280"/>
      <c r="AB37" s="281" t="str">
        <f>IF(Table14[[#This Row],[NABERS Energy Rating 
(Stars)]]&gt;=4, "YES", "NO")</f>
        <v>NO</v>
      </c>
      <c r="AC37" s="290">
        <f t="shared" si="1"/>
        <v>0</v>
      </c>
      <c r="AD37" s="282">
        <f>IF(E37="Whole Building",VLOOKUP(AC37,'Points Table'!$B$13:$C$36,2,TRUE),IF(OR(E37="Base Building", E37="Shopping Centre"),VLOOKUP(AC37,'Points Table'!$E$13:$F$33,2,TRUE),0))</f>
        <v>0</v>
      </c>
    </row>
    <row r="38" spans="2:30">
      <c r="B38" s="294"/>
      <c r="C38" s="294"/>
      <c r="D38" s="294"/>
      <c r="E38" s="294"/>
      <c r="F38" s="293"/>
      <c r="G38" s="293"/>
      <c r="H38" s="293"/>
      <c r="I38" s="293"/>
      <c r="J38" s="278"/>
      <c r="K38" s="279"/>
      <c r="L38" s="265" t="str">
        <f t="shared" si="0"/>
        <v/>
      </c>
      <c r="M38" s="279"/>
      <c r="N38" s="278"/>
      <c r="O38" s="278"/>
      <c r="P38" s="278"/>
      <c r="Q38" s="278"/>
      <c r="R38" s="278"/>
      <c r="S38" s="278"/>
      <c r="T38" s="278"/>
      <c r="U38" s="278"/>
      <c r="V38" s="278"/>
      <c r="W38" s="278"/>
      <c r="X38" s="278"/>
      <c r="Y38" s="278"/>
      <c r="Z38" s="278"/>
      <c r="AA38" s="280"/>
      <c r="AB38" s="281" t="str">
        <f>IF(Table14[[#This Row],[NABERS Energy Rating 
(Stars)]]&gt;=4, "YES", "NO")</f>
        <v>NO</v>
      </c>
      <c r="AC38" s="290">
        <f t="shared" si="1"/>
        <v>0</v>
      </c>
      <c r="AD38" s="282">
        <f>IF(E38="Whole Building",VLOOKUP(AC38,'Points Table'!$B$13:$C$36,2,TRUE),IF(OR(E38="Base Building", E38="Shopping Centre"),VLOOKUP(AC38,'Points Table'!$E$13:$F$33,2,TRUE),0))</f>
        <v>0</v>
      </c>
    </row>
    <row r="39" spans="2:30">
      <c r="B39" s="294"/>
      <c r="C39" s="294"/>
      <c r="D39" s="294"/>
      <c r="E39" s="294"/>
      <c r="F39" s="293"/>
      <c r="G39" s="293"/>
      <c r="H39" s="293"/>
      <c r="I39" s="293"/>
      <c r="J39" s="278"/>
      <c r="K39" s="278"/>
      <c r="L39" s="265" t="str">
        <f t="shared" si="0"/>
        <v/>
      </c>
      <c r="M39" s="279"/>
      <c r="N39" s="278"/>
      <c r="O39" s="278"/>
      <c r="P39" s="278"/>
      <c r="Q39" s="278"/>
      <c r="R39" s="278"/>
      <c r="S39" s="278"/>
      <c r="T39" s="278"/>
      <c r="U39" s="278"/>
      <c r="V39" s="278"/>
      <c r="W39" s="278"/>
      <c r="X39" s="278"/>
      <c r="Y39" s="278"/>
      <c r="Z39" s="278"/>
      <c r="AA39" s="280"/>
      <c r="AB39" s="281" t="str">
        <f>IF(Table14[[#This Row],[NABERS Energy Rating 
(Stars)]]&gt;=4, "YES", "NO")</f>
        <v>NO</v>
      </c>
      <c r="AC39" s="290">
        <f t="shared" si="1"/>
        <v>0</v>
      </c>
      <c r="AD39" s="282">
        <f>IF(E39="Whole Building",VLOOKUP(AC39,'Points Table'!$B$13:$C$36,2,TRUE),IF(OR(E39="Base Building", E39="Shopping Centre"),VLOOKUP(AC39,'Points Table'!$E$13:$F$33,2,TRUE),0))</f>
        <v>0</v>
      </c>
    </row>
    <row r="40" spans="2:30">
      <c r="B40" s="294"/>
      <c r="C40" s="294"/>
      <c r="D40" s="294"/>
      <c r="E40" s="294"/>
      <c r="F40" s="293"/>
      <c r="G40" s="293"/>
      <c r="H40" s="293"/>
      <c r="I40" s="293"/>
      <c r="J40" s="278"/>
      <c r="K40" s="279"/>
      <c r="L40" s="265" t="str">
        <f t="shared" si="0"/>
        <v/>
      </c>
      <c r="M40" s="279"/>
      <c r="N40" s="278"/>
      <c r="O40" s="278"/>
      <c r="P40" s="278"/>
      <c r="Q40" s="278"/>
      <c r="R40" s="278"/>
      <c r="S40" s="278"/>
      <c r="T40" s="278"/>
      <c r="U40" s="278"/>
      <c r="V40" s="278"/>
      <c r="W40" s="278"/>
      <c r="X40" s="278"/>
      <c r="Y40" s="278"/>
      <c r="Z40" s="278"/>
      <c r="AA40" s="280"/>
      <c r="AB40" s="281" t="str">
        <f>IF(Table14[[#This Row],[NABERS Energy Rating 
(Stars)]]&gt;=4, "YES", "NO")</f>
        <v>NO</v>
      </c>
      <c r="AC40" s="290">
        <f t="shared" si="1"/>
        <v>0</v>
      </c>
      <c r="AD40" s="282">
        <f>IF(E40="Whole Building",VLOOKUP(AC40,'Points Table'!$B$13:$C$36,2,TRUE),IF(OR(E40="Base Building", E40="Shopping Centre"),VLOOKUP(AC40,'Points Table'!$E$13:$F$33,2,TRUE),0))</f>
        <v>0</v>
      </c>
    </row>
    <row r="41" spans="2:30">
      <c r="B41" s="294"/>
      <c r="C41" s="294"/>
      <c r="D41" s="294"/>
      <c r="E41" s="294"/>
      <c r="F41" s="293"/>
      <c r="G41" s="293"/>
      <c r="H41" s="293"/>
      <c r="I41" s="293"/>
      <c r="J41" s="278"/>
      <c r="K41" s="278"/>
      <c r="L41" s="265" t="str">
        <f t="shared" si="0"/>
        <v/>
      </c>
      <c r="M41" s="279"/>
      <c r="N41" s="278"/>
      <c r="O41" s="278"/>
      <c r="P41" s="278"/>
      <c r="Q41" s="278"/>
      <c r="R41" s="278"/>
      <c r="S41" s="278"/>
      <c r="T41" s="278"/>
      <c r="U41" s="278"/>
      <c r="V41" s="278"/>
      <c r="W41" s="278"/>
      <c r="X41" s="278"/>
      <c r="Y41" s="278"/>
      <c r="Z41" s="278"/>
      <c r="AA41" s="280"/>
      <c r="AB41" s="281" t="str">
        <f>IF(Table14[[#This Row],[NABERS Energy Rating 
(Stars)]]&gt;=4, "YES", "NO")</f>
        <v>NO</v>
      </c>
      <c r="AC41" s="290">
        <f t="shared" si="1"/>
        <v>0</v>
      </c>
      <c r="AD41" s="282">
        <f>IF(E41="Whole Building",VLOOKUP(AC41,'Points Table'!$B$13:$C$36,2,TRUE),IF(OR(E41="Base Building", E41="Shopping Centre"),VLOOKUP(AC41,'Points Table'!$E$13:$F$33,2,TRUE),0))</f>
        <v>0</v>
      </c>
    </row>
    <row r="42" spans="2:30">
      <c r="B42" s="294"/>
      <c r="C42" s="294"/>
      <c r="D42" s="294"/>
      <c r="E42" s="294"/>
      <c r="F42" s="293"/>
      <c r="G42" s="293"/>
      <c r="H42" s="293"/>
      <c r="I42" s="293"/>
      <c r="J42" s="278"/>
      <c r="K42" s="278"/>
      <c r="L42" s="265" t="str">
        <f t="shared" si="0"/>
        <v/>
      </c>
      <c r="M42" s="279"/>
      <c r="N42" s="278"/>
      <c r="O42" s="278"/>
      <c r="P42" s="278"/>
      <c r="Q42" s="278"/>
      <c r="R42" s="278"/>
      <c r="S42" s="278"/>
      <c r="T42" s="278"/>
      <c r="U42" s="278"/>
      <c r="V42" s="278"/>
      <c r="W42" s="278"/>
      <c r="X42" s="278"/>
      <c r="Y42" s="278"/>
      <c r="Z42" s="278"/>
      <c r="AA42" s="280"/>
      <c r="AB42" s="281" t="str">
        <f>IF(Table14[[#This Row],[NABERS Energy Rating 
(Stars)]]&gt;=4, "YES", "NO")</f>
        <v>NO</v>
      </c>
      <c r="AC42" s="290">
        <f t="shared" ref="AC42:AC73" si="2">IF(Z42="",0,MAX(0,IFERROR((H42-Z42)/H42,0)))</f>
        <v>0</v>
      </c>
      <c r="AD42" s="282">
        <f>IF(E42="Whole Building",VLOOKUP(AC42,'Points Table'!$B$13:$C$36,2,TRUE),IF(OR(E42="Base Building", E42="Shopping Centre"),VLOOKUP(AC42,'Points Table'!$E$13:$F$33,2,TRUE),0))</f>
        <v>0</v>
      </c>
    </row>
    <row r="43" spans="2:30">
      <c r="B43" s="294"/>
      <c r="C43" s="294"/>
      <c r="D43" s="294"/>
      <c r="E43" s="294"/>
      <c r="F43" s="293"/>
      <c r="G43" s="293"/>
      <c r="H43" s="293"/>
      <c r="I43" s="293"/>
      <c r="J43" s="278"/>
      <c r="K43" s="279"/>
      <c r="L43" s="265" t="str">
        <f t="shared" si="0"/>
        <v/>
      </c>
      <c r="M43" s="279"/>
      <c r="N43" s="278"/>
      <c r="O43" s="278"/>
      <c r="P43" s="278"/>
      <c r="Q43" s="278"/>
      <c r="R43" s="278"/>
      <c r="S43" s="278"/>
      <c r="T43" s="278"/>
      <c r="U43" s="278"/>
      <c r="V43" s="278"/>
      <c r="W43" s="278"/>
      <c r="X43" s="278"/>
      <c r="Y43" s="278"/>
      <c r="Z43" s="278"/>
      <c r="AA43" s="280"/>
      <c r="AB43" s="281" t="str">
        <f>IF(Table14[[#This Row],[NABERS Energy Rating 
(Stars)]]&gt;=4, "YES", "NO")</f>
        <v>NO</v>
      </c>
      <c r="AC43" s="290">
        <f t="shared" si="2"/>
        <v>0</v>
      </c>
      <c r="AD43" s="282">
        <f>IF(E43="Whole Building",VLOOKUP(AC43,'Points Table'!$B$13:$C$36,2,TRUE),IF(OR(E43="Base Building", E43="Shopping Centre"),VLOOKUP(AC43,'Points Table'!$E$13:$F$33,2,TRUE),0))</f>
        <v>0</v>
      </c>
    </row>
    <row r="44" spans="2:30">
      <c r="B44" s="294"/>
      <c r="C44" s="294"/>
      <c r="D44" s="294"/>
      <c r="E44" s="294"/>
      <c r="F44" s="293"/>
      <c r="G44" s="293"/>
      <c r="H44" s="293"/>
      <c r="I44" s="293"/>
      <c r="J44" s="278"/>
      <c r="K44" s="279"/>
      <c r="L44" s="265" t="str">
        <f t="shared" si="0"/>
        <v/>
      </c>
      <c r="M44" s="279"/>
      <c r="N44" s="278"/>
      <c r="O44" s="278"/>
      <c r="P44" s="278"/>
      <c r="Q44" s="278"/>
      <c r="R44" s="278"/>
      <c r="S44" s="278"/>
      <c r="T44" s="278"/>
      <c r="U44" s="278"/>
      <c r="V44" s="278"/>
      <c r="W44" s="278"/>
      <c r="X44" s="278"/>
      <c r="Y44" s="278"/>
      <c r="Z44" s="278"/>
      <c r="AA44" s="280"/>
      <c r="AB44" s="281" t="str">
        <f>IF(Table14[[#This Row],[NABERS Energy Rating 
(Stars)]]&gt;=4, "YES", "NO")</f>
        <v>NO</v>
      </c>
      <c r="AC44" s="290">
        <f t="shared" si="2"/>
        <v>0</v>
      </c>
      <c r="AD44" s="282">
        <f>IF(E44="Whole Building",VLOOKUP(AC44,'Points Table'!$B$13:$C$36,2,TRUE),IF(OR(E44="Base Building", E44="Shopping Centre"),VLOOKUP(AC44,'Points Table'!$E$13:$F$33,2,TRUE),0))</f>
        <v>0</v>
      </c>
    </row>
    <row r="45" spans="2:30">
      <c r="B45" s="294"/>
      <c r="C45" s="294"/>
      <c r="D45" s="294"/>
      <c r="E45" s="294"/>
      <c r="F45" s="293"/>
      <c r="G45" s="293"/>
      <c r="H45" s="293"/>
      <c r="I45" s="293"/>
      <c r="J45" s="278"/>
      <c r="K45" s="279"/>
      <c r="L45" s="265" t="str">
        <f t="shared" si="0"/>
        <v/>
      </c>
      <c r="M45" s="279"/>
      <c r="N45" s="278"/>
      <c r="O45" s="278"/>
      <c r="P45" s="278"/>
      <c r="Q45" s="278"/>
      <c r="R45" s="278"/>
      <c r="S45" s="278"/>
      <c r="T45" s="278"/>
      <c r="U45" s="278"/>
      <c r="V45" s="278"/>
      <c r="W45" s="278"/>
      <c r="X45" s="278"/>
      <c r="Y45" s="278"/>
      <c r="Z45" s="278"/>
      <c r="AA45" s="280"/>
      <c r="AB45" s="281" t="str">
        <f>IF(Table14[[#This Row],[NABERS Energy Rating 
(Stars)]]&gt;=4, "YES", "NO")</f>
        <v>NO</v>
      </c>
      <c r="AC45" s="290">
        <f t="shared" si="2"/>
        <v>0</v>
      </c>
      <c r="AD45" s="282">
        <f>IF(E45="Whole Building",VLOOKUP(AC45,'Points Table'!$B$13:$C$36,2,TRUE),IF(OR(E45="Base Building", E45="Shopping Centre"),VLOOKUP(AC45,'Points Table'!$E$13:$F$33,2,TRUE),0))</f>
        <v>0</v>
      </c>
    </row>
    <row r="46" spans="2:30">
      <c r="B46" s="294"/>
      <c r="C46" s="294"/>
      <c r="D46" s="294"/>
      <c r="E46" s="294"/>
      <c r="F46" s="293"/>
      <c r="G46" s="293"/>
      <c r="H46" s="293"/>
      <c r="I46" s="293"/>
      <c r="J46" s="278"/>
      <c r="K46" s="278"/>
      <c r="L46" s="265" t="str">
        <f t="shared" si="0"/>
        <v/>
      </c>
      <c r="M46" s="279"/>
      <c r="N46" s="278"/>
      <c r="O46" s="278"/>
      <c r="P46" s="278"/>
      <c r="Q46" s="278"/>
      <c r="R46" s="278"/>
      <c r="S46" s="278"/>
      <c r="T46" s="278"/>
      <c r="U46" s="278"/>
      <c r="V46" s="278"/>
      <c r="W46" s="278"/>
      <c r="X46" s="278"/>
      <c r="Y46" s="278"/>
      <c r="Z46" s="278"/>
      <c r="AA46" s="280"/>
      <c r="AB46" s="281" t="str">
        <f>IF(Table14[[#This Row],[NABERS Energy Rating 
(Stars)]]&gt;=4, "YES", "NO")</f>
        <v>NO</v>
      </c>
      <c r="AC46" s="290">
        <f t="shared" si="2"/>
        <v>0</v>
      </c>
      <c r="AD46" s="282">
        <f>IF(E46="Whole Building",VLOOKUP(AC46,'Points Table'!$B$13:$C$36,2,TRUE),IF(OR(E46="Base Building", E46="Shopping Centre"),VLOOKUP(AC46,'Points Table'!$E$13:$F$33,2,TRUE),0))</f>
        <v>0</v>
      </c>
    </row>
    <row r="47" spans="2:30">
      <c r="B47" s="294"/>
      <c r="C47" s="294"/>
      <c r="D47" s="294"/>
      <c r="E47" s="294"/>
      <c r="F47" s="293"/>
      <c r="G47" s="293"/>
      <c r="H47" s="293"/>
      <c r="I47" s="293"/>
      <c r="J47" s="278"/>
      <c r="K47" s="279"/>
      <c r="L47" s="265" t="str">
        <f t="shared" si="0"/>
        <v/>
      </c>
      <c r="M47" s="279"/>
      <c r="N47" s="278"/>
      <c r="O47" s="278"/>
      <c r="P47" s="278"/>
      <c r="Q47" s="278"/>
      <c r="R47" s="278"/>
      <c r="S47" s="278"/>
      <c r="T47" s="278"/>
      <c r="U47" s="278"/>
      <c r="V47" s="278"/>
      <c r="W47" s="278"/>
      <c r="X47" s="278"/>
      <c r="Y47" s="278"/>
      <c r="Z47" s="278"/>
      <c r="AA47" s="280"/>
      <c r="AB47" s="281" t="str">
        <f>IF(Table14[[#This Row],[NABERS Energy Rating 
(Stars)]]&gt;=4, "YES", "NO")</f>
        <v>NO</v>
      </c>
      <c r="AC47" s="290">
        <f t="shared" si="2"/>
        <v>0</v>
      </c>
      <c r="AD47" s="282">
        <f>IF(E47="Whole Building",VLOOKUP(AC47,'Points Table'!$B$13:$C$36,2,TRUE),IF(OR(E47="Base Building", E47="Shopping Centre"),VLOOKUP(AC47,'Points Table'!$E$13:$F$33,2,TRUE),0))</f>
        <v>0</v>
      </c>
    </row>
    <row r="48" spans="2:30">
      <c r="B48" s="294"/>
      <c r="C48" s="294"/>
      <c r="D48" s="294"/>
      <c r="E48" s="294"/>
      <c r="F48" s="293"/>
      <c r="G48" s="293"/>
      <c r="H48" s="293"/>
      <c r="I48" s="293"/>
      <c r="J48" s="278"/>
      <c r="K48" s="279"/>
      <c r="L48" s="265" t="str">
        <f t="shared" si="0"/>
        <v/>
      </c>
      <c r="M48" s="279"/>
      <c r="N48" s="278"/>
      <c r="O48" s="278"/>
      <c r="P48" s="278"/>
      <c r="Q48" s="278"/>
      <c r="R48" s="278"/>
      <c r="S48" s="278"/>
      <c r="T48" s="278"/>
      <c r="U48" s="278"/>
      <c r="V48" s="278"/>
      <c r="W48" s="278"/>
      <c r="X48" s="278"/>
      <c r="Y48" s="278"/>
      <c r="Z48" s="278"/>
      <c r="AA48" s="280"/>
      <c r="AB48" s="281" t="str">
        <f>IF(Table14[[#This Row],[NABERS Energy Rating 
(Stars)]]&gt;=4, "YES", "NO")</f>
        <v>NO</v>
      </c>
      <c r="AC48" s="290">
        <f t="shared" si="2"/>
        <v>0</v>
      </c>
      <c r="AD48" s="282">
        <f>IF(E48="Whole Building",VLOOKUP(AC48,'Points Table'!$B$13:$C$36,2,TRUE),IF(OR(E48="Base Building", E48="Shopping Centre"),VLOOKUP(AC48,'Points Table'!$E$13:$F$33,2,TRUE),0))</f>
        <v>0</v>
      </c>
    </row>
    <row r="49" spans="2:30">
      <c r="B49" s="294"/>
      <c r="C49" s="294"/>
      <c r="D49" s="294"/>
      <c r="E49" s="294"/>
      <c r="F49" s="293"/>
      <c r="G49" s="293"/>
      <c r="H49" s="293"/>
      <c r="I49" s="293"/>
      <c r="J49" s="278"/>
      <c r="K49" s="279"/>
      <c r="L49" s="265" t="str">
        <f t="shared" si="0"/>
        <v/>
      </c>
      <c r="M49" s="279"/>
      <c r="N49" s="278"/>
      <c r="O49" s="278"/>
      <c r="P49" s="278"/>
      <c r="Q49" s="278"/>
      <c r="R49" s="278"/>
      <c r="S49" s="278"/>
      <c r="T49" s="278"/>
      <c r="U49" s="278"/>
      <c r="V49" s="278"/>
      <c r="W49" s="278"/>
      <c r="X49" s="278"/>
      <c r="Y49" s="278"/>
      <c r="Z49" s="278"/>
      <c r="AA49" s="280"/>
      <c r="AB49" s="281" t="str">
        <f>IF(Table14[[#This Row],[NABERS Energy Rating 
(Stars)]]&gt;=4, "YES", "NO")</f>
        <v>NO</v>
      </c>
      <c r="AC49" s="290">
        <f t="shared" si="2"/>
        <v>0</v>
      </c>
      <c r="AD49" s="282">
        <f>IF(E49="Whole Building",VLOOKUP(AC49,'Points Table'!$B$13:$C$36,2,TRUE),IF(OR(E49="Base Building", E49="Shopping Centre"),VLOOKUP(AC49,'Points Table'!$E$13:$F$33,2,TRUE),0))</f>
        <v>0</v>
      </c>
    </row>
    <row r="50" spans="2:30">
      <c r="B50" s="294"/>
      <c r="C50" s="294"/>
      <c r="D50" s="294"/>
      <c r="E50" s="294"/>
      <c r="F50" s="293"/>
      <c r="G50" s="293"/>
      <c r="H50" s="293"/>
      <c r="I50" s="293"/>
      <c r="J50" s="278"/>
      <c r="K50" s="279"/>
      <c r="L50" s="265" t="str">
        <f t="shared" si="0"/>
        <v/>
      </c>
      <c r="M50" s="279"/>
      <c r="N50" s="278"/>
      <c r="O50" s="278"/>
      <c r="P50" s="278"/>
      <c r="Q50" s="278"/>
      <c r="R50" s="278"/>
      <c r="S50" s="278"/>
      <c r="T50" s="278"/>
      <c r="U50" s="278"/>
      <c r="V50" s="278"/>
      <c r="W50" s="278"/>
      <c r="X50" s="278"/>
      <c r="Y50" s="278"/>
      <c r="Z50" s="278"/>
      <c r="AA50" s="280"/>
      <c r="AB50" s="281" t="str">
        <f>IF(Table14[[#This Row],[NABERS Energy Rating 
(Stars)]]&gt;=4, "YES", "NO")</f>
        <v>NO</v>
      </c>
      <c r="AC50" s="290">
        <f t="shared" si="2"/>
        <v>0</v>
      </c>
      <c r="AD50" s="282">
        <f>IF(E50="Whole Building",VLOOKUP(AC50,'Points Table'!$B$13:$C$36,2,TRUE),IF(OR(E50="Base Building", E50="Shopping Centre"),VLOOKUP(AC50,'Points Table'!$E$13:$F$33,2,TRUE),0))</f>
        <v>0</v>
      </c>
    </row>
    <row r="51" spans="2:30">
      <c r="B51" s="294"/>
      <c r="C51" s="294"/>
      <c r="D51" s="294"/>
      <c r="E51" s="294"/>
      <c r="F51" s="293"/>
      <c r="G51" s="293"/>
      <c r="H51" s="293"/>
      <c r="I51" s="293"/>
      <c r="J51" s="278"/>
      <c r="K51" s="278"/>
      <c r="L51" s="265" t="str">
        <f t="shared" si="0"/>
        <v/>
      </c>
      <c r="M51" s="279"/>
      <c r="N51" s="278"/>
      <c r="O51" s="278"/>
      <c r="P51" s="278"/>
      <c r="Q51" s="278"/>
      <c r="R51" s="278"/>
      <c r="S51" s="278"/>
      <c r="T51" s="278"/>
      <c r="U51" s="278"/>
      <c r="V51" s="278"/>
      <c r="W51" s="278"/>
      <c r="X51" s="278"/>
      <c r="Y51" s="278"/>
      <c r="Z51" s="278"/>
      <c r="AA51" s="280"/>
      <c r="AB51" s="281" t="str">
        <f>IF(Table14[[#This Row],[NABERS Energy Rating 
(Stars)]]&gt;=4, "YES", "NO")</f>
        <v>NO</v>
      </c>
      <c r="AC51" s="290">
        <f t="shared" si="2"/>
        <v>0</v>
      </c>
      <c r="AD51" s="282">
        <f>IF(E51="Whole Building",VLOOKUP(AC51,'Points Table'!$B$13:$C$36,2,TRUE),IF(OR(E51="Base Building", E51="Shopping Centre"),VLOOKUP(AC51,'Points Table'!$E$13:$F$33,2,TRUE),0))</f>
        <v>0</v>
      </c>
    </row>
    <row r="52" spans="2:30">
      <c r="B52" s="294"/>
      <c r="C52" s="294"/>
      <c r="D52" s="294"/>
      <c r="E52" s="294"/>
      <c r="F52" s="293"/>
      <c r="G52" s="293"/>
      <c r="H52" s="293"/>
      <c r="I52" s="293"/>
      <c r="J52" s="278"/>
      <c r="K52" s="279"/>
      <c r="L52" s="265" t="str">
        <f t="shared" si="0"/>
        <v/>
      </c>
      <c r="M52" s="279"/>
      <c r="N52" s="278"/>
      <c r="O52" s="278"/>
      <c r="P52" s="278"/>
      <c r="Q52" s="278"/>
      <c r="R52" s="278"/>
      <c r="S52" s="278"/>
      <c r="T52" s="278"/>
      <c r="U52" s="278"/>
      <c r="V52" s="278"/>
      <c r="W52" s="278"/>
      <c r="X52" s="278"/>
      <c r="Y52" s="278"/>
      <c r="Z52" s="278"/>
      <c r="AA52" s="280"/>
      <c r="AB52" s="281" t="str">
        <f>IF(Table14[[#This Row],[NABERS Energy Rating 
(Stars)]]&gt;=4, "YES", "NO")</f>
        <v>NO</v>
      </c>
      <c r="AC52" s="290">
        <f t="shared" si="2"/>
        <v>0</v>
      </c>
      <c r="AD52" s="282">
        <f>IF(E52="Whole Building",VLOOKUP(AC52,'Points Table'!$B$13:$C$36,2,TRUE),IF(OR(E52="Base Building", E52="Shopping Centre"),VLOOKUP(AC52,'Points Table'!$E$13:$F$33,2,TRUE),0))</f>
        <v>0</v>
      </c>
    </row>
    <row r="53" spans="2:30">
      <c r="B53" s="294"/>
      <c r="C53" s="294"/>
      <c r="D53" s="294"/>
      <c r="E53" s="294"/>
      <c r="F53" s="293"/>
      <c r="G53" s="293"/>
      <c r="H53" s="293"/>
      <c r="I53" s="293"/>
      <c r="J53" s="278"/>
      <c r="K53" s="279"/>
      <c r="L53" s="265" t="str">
        <f t="shared" si="0"/>
        <v/>
      </c>
      <c r="M53" s="279"/>
      <c r="N53" s="278"/>
      <c r="O53" s="278"/>
      <c r="P53" s="278"/>
      <c r="Q53" s="278"/>
      <c r="R53" s="278"/>
      <c r="S53" s="278"/>
      <c r="T53" s="278"/>
      <c r="U53" s="278"/>
      <c r="V53" s="278"/>
      <c r="W53" s="278"/>
      <c r="X53" s="278"/>
      <c r="Y53" s="278"/>
      <c r="Z53" s="278"/>
      <c r="AA53" s="280"/>
      <c r="AB53" s="281" t="str">
        <f>IF(Table14[[#This Row],[NABERS Energy Rating 
(Stars)]]&gt;=4, "YES", "NO")</f>
        <v>NO</v>
      </c>
      <c r="AC53" s="290">
        <f t="shared" si="2"/>
        <v>0</v>
      </c>
      <c r="AD53" s="282">
        <f>IF(E53="Whole Building",VLOOKUP(AC53,'Points Table'!$B$13:$C$36,2,TRUE),IF(OR(E53="Base Building", E53="Shopping Centre"),VLOOKUP(AC53,'Points Table'!$E$13:$F$33,2,TRUE),0))</f>
        <v>0</v>
      </c>
    </row>
    <row r="54" spans="2:30">
      <c r="B54" s="294"/>
      <c r="C54" s="294"/>
      <c r="D54" s="294"/>
      <c r="E54" s="294"/>
      <c r="F54" s="293"/>
      <c r="G54" s="293"/>
      <c r="H54" s="293"/>
      <c r="I54" s="293"/>
      <c r="J54" s="278"/>
      <c r="K54" s="278"/>
      <c r="L54" s="265" t="str">
        <f t="shared" si="0"/>
        <v/>
      </c>
      <c r="M54" s="279"/>
      <c r="N54" s="278"/>
      <c r="O54" s="278"/>
      <c r="P54" s="278"/>
      <c r="Q54" s="278"/>
      <c r="R54" s="278"/>
      <c r="S54" s="278"/>
      <c r="T54" s="278"/>
      <c r="U54" s="278"/>
      <c r="V54" s="278"/>
      <c r="W54" s="278"/>
      <c r="X54" s="278"/>
      <c r="Y54" s="278"/>
      <c r="Z54" s="278"/>
      <c r="AA54" s="280"/>
      <c r="AB54" s="281" t="str">
        <f>IF(Table14[[#This Row],[NABERS Energy Rating 
(Stars)]]&gt;=4, "YES", "NO")</f>
        <v>NO</v>
      </c>
      <c r="AC54" s="290">
        <f t="shared" si="2"/>
        <v>0</v>
      </c>
      <c r="AD54" s="282">
        <f>IF(E54="Whole Building",VLOOKUP(AC54,'Points Table'!$B$13:$C$36,2,TRUE),IF(OR(E54="Base Building", E54="Shopping Centre"),VLOOKUP(AC54,'Points Table'!$E$13:$F$33,2,TRUE),0))</f>
        <v>0</v>
      </c>
    </row>
    <row r="55" spans="2:30">
      <c r="B55" s="294"/>
      <c r="C55" s="294"/>
      <c r="D55" s="294"/>
      <c r="E55" s="294"/>
      <c r="F55" s="293"/>
      <c r="G55" s="293"/>
      <c r="H55" s="293"/>
      <c r="I55" s="293"/>
      <c r="J55" s="278"/>
      <c r="K55" s="279"/>
      <c r="L55" s="265" t="str">
        <f t="shared" si="0"/>
        <v/>
      </c>
      <c r="M55" s="279"/>
      <c r="N55" s="278"/>
      <c r="O55" s="278"/>
      <c r="P55" s="278"/>
      <c r="Q55" s="278"/>
      <c r="R55" s="278"/>
      <c r="S55" s="278"/>
      <c r="T55" s="278"/>
      <c r="U55" s="278"/>
      <c r="V55" s="278"/>
      <c r="W55" s="278"/>
      <c r="X55" s="278"/>
      <c r="Y55" s="278"/>
      <c r="Z55" s="278"/>
      <c r="AA55" s="280"/>
      <c r="AB55" s="281" t="str">
        <f>IF(Table14[[#This Row],[NABERS Energy Rating 
(Stars)]]&gt;=4, "YES", "NO")</f>
        <v>NO</v>
      </c>
      <c r="AC55" s="290">
        <f t="shared" si="2"/>
        <v>0</v>
      </c>
      <c r="AD55" s="282">
        <f>IF(E55="Whole Building",VLOOKUP(AC55,'Points Table'!$B$13:$C$36,2,TRUE),IF(OR(E55="Base Building", E55="Shopping Centre"),VLOOKUP(AC55,'Points Table'!$E$13:$F$33,2,TRUE),0))</f>
        <v>0</v>
      </c>
    </row>
    <row r="56" spans="2:30">
      <c r="B56" s="294"/>
      <c r="C56" s="294"/>
      <c r="D56" s="294"/>
      <c r="E56" s="294"/>
      <c r="F56" s="293"/>
      <c r="G56" s="293"/>
      <c r="H56" s="293"/>
      <c r="I56" s="293"/>
      <c r="J56" s="278"/>
      <c r="K56" s="279"/>
      <c r="L56" s="265" t="str">
        <f t="shared" si="0"/>
        <v/>
      </c>
      <c r="M56" s="279"/>
      <c r="N56" s="278"/>
      <c r="O56" s="278"/>
      <c r="P56" s="278"/>
      <c r="Q56" s="278"/>
      <c r="R56" s="278"/>
      <c r="S56" s="278"/>
      <c r="T56" s="278"/>
      <c r="U56" s="278"/>
      <c r="V56" s="278"/>
      <c r="W56" s="278"/>
      <c r="X56" s="278"/>
      <c r="Y56" s="278"/>
      <c r="Z56" s="278"/>
      <c r="AA56" s="280"/>
      <c r="AB56" s="281" t="str">
        <f>IF(Table14[[#This Row],[NABERS Energy Rating 
(Stars)]]&gt;=4, "YES", "NO")</f>
        <v>NO</v>
      </c>
      <c r="AC56" s="290">
        <f t="shared" si="2"/>
        <v>0</v>
      </c>
      <c r="AD56" s="282">
        <f>IF(E56="Whole Building",VLOOKUP(AC56,'Points Table'!$B$13:$C$36,2,TRUE),IF(OR(E56="Base Building", E56="Shopping Centre"),VLOOKUP(AC56,'Points Table'!$E$13:$F$33,2,TRUE),0))</f>
        <v>0</v>
      </c>
    </row>
    <row r="57" spans="2:30">
      <c r="B57" s="294"/>
      <c r="C57" s="294"/>
      <c r="D57" s="294"/>
      <c r="E57" s="294"/>
      <c r="F57" s="293"/>
      <c r="G57" s="293"/>
      <c r="H57" s="293"/>
      <c r="I57" s="293"/>
      <c r="J57" s="278"/>
      <c r="K57" s="278"/>
      <c r="L57" s="265" t="str">
        <f t="shared" si="0"/>
        <v/>
      </c>
      <c r="M57" s="279"/>
      <c r="N57" s="278"/>
      <c r="O57" s="278"/>
      <c r="P57" s="278"/>
      <c r="Q57" s="278"/>
      <c r="R57" s="278"/>
      <c r="S57" s="278"/>
      <c r="T57" s="278"/>
      <c r="U57" s="278"/>
      <c r="V57" s="278"/>
      <c r="W57" s="278"/>
      <c r="X57" s="278"/>
      <c r="Y57" s="278"/>
      <c r="Z57" s="278"/>
      <c r="AA57" s="280"/>
      <c r="AB57" s="281" t="str">
        <f>IF(Table14[[#This Row],[NABERS Energy Rating 
(Stars)]]&gt;=4, "YES", "NO")</f>
        <v>NO</v>
      </c>
      <c r="AC57" s="290">
        <f t="shared" si="2"/>
        <v>0</v>
      </c>
      <c r="AD57" s="282">
        <f>IF(E57="Whole Building",VLOOKUP(AC57,'Points Table'!$B$13:$C$36,2,TRUE),IF(OR(E57="Base Building", E57="Shopping Centre"),VLOOKUP(AC57,'Points Table'!$E$13:$F$33,2,TRUE),0))</f>
        <v>0</v>
      </c>
    </row>
    <row r="58" spans="2:30">
      <c r="B58" s="294"/>
      <c r="C58" s="294"/>
      <c r="D58" s="294"/>
      <c r="E58" s="294"/>
      <c r="F58" s="293"/>
      <c r="G58" s="293"/>
      <c r="H58" s="293"/>
      <c r="I58" s="293"/>
      <c r="J58" s="278"/>
      <c r="K58" s="278"/>
      <c r="L58" s="265" t="str">
        <f t="shared" si="0"/>
        <v/>
      </c>
      <c r="M58" s="279"/>
      <c r="N58" s="278"/>
      <c r="O58" s="278"/>
      <c r="P58" s="278"/>
      <c r="Q58" s="278"/>
      <c r="R58" s="278"/>
      <c r="S58" s="278"/>
      <c r="T58" s="278"/>
      <c r="U58" s="278"/>
      <c r="V58" s="278"/>
      <c r="W58" s="278"/>
      <c r="X58" s="278"/>
      <c r="Y58" s="278"/>
      <c r="Z58" s="278"/>
      <c r="AA58" s="280"/>
      <c r="AB58" s="281" t="str">
        <f>IF(Table14[[#This Row],[NABERS Energy Rating 
(Stars)]]&gt;=4, "YES", "NO")</f>
        <v>NO</v>
      </c>
      <c r="AC58" s="290">
        <f t="shared" si="2"/>
        <v>0</v>
      </c>
      <c r="AD58" s="282">
        <f>IF(E58="Whole Building",VLOOKUP(AC58,'Points Table'!$B$13:$C$36,2,TRUE),IF(OR(E58="Base Building", E58="Shopping Centre"),VLOOKUP(AC58,'Points Table'!$E$13:$F$33,2,TRUE),0))</f>
        <v>0</v>
      </c>
    </row>
    <row r="59" spans="2:30">
      <c r="B59" s="294"/>
      <c r="C59" s="294"/>
      <c r="D59" s="294"/>
      <c r="E59" s="294"/>
      <c r="F59" s="293"/>
      <c r="G59" s="293"/>
      <c r="H59" s="293"/>
      <c r="I59" s="293"/>
      <c r="J59" s="278"/>
      <c r="K59" s="278"/>
      <c r="L59" s="265" t="str">
        <f t="shared" si="0"/>
        <v/>
      </c>
      <c r="M59" s="279"/>
      <c r="N59" s="278"/>
      <c r="O59" s="278"/>
      <c r="P59" s="278"/>
      <c r="Q59" s="278"/>
      <c r="R59" s="278"/>
      <c r="S59" s="278"/>
      <c r="T59" s="278"/>
      <c r="U59" s="278"/>
      <c r="V59" s="278"/>
      <c r="W59" s="278"/>
      <c r="X59" s="278"/>
      <c r="Y59" s="278"/>
      <c r="Z59" s="278"/>
      <c r="AA59" s="280"/>
      <c r="AB59" s="281" t="str">
        <f>IF(Table14[[#This Row],[NABERS Energy Rating 
(Stars)]]&gt;=4, "YES", "NO")</f>
        <v>NO</v>
      </c>
      <c r="AC59" s="290">
        <f t="shared" si="2"/>
        <v>0</v>
      </c>
      <c r="AD59" s="282">
        <f>IF(E59="Whole Building",VLOOKUP(AC59,'Points Table'!$B$13:$C$36,2,TRUE),IF(OR(E59="Base Building", E59="Shopping Centre"),VLOOKUP(AC59,'Points Table'!$E$13:$F$33,2,TRUE),0))</f>
        <v>0</v>
      </c>
    </row>
    <row r="60" spans="2:30">
      <c r="B60" s="294"/>
      <c r="C60" s="294"/>
      <c r="D60" s="294"/>
      <c r="E60" s="294"/>
      <c r="F60" s="293"/>
      <c r="G60" s="293"/>
      <c r="H60" s="293"/>
      <c r="I60" s="293"/>
      <c r="J60" s="278"/>
      <c r="K60" s="278"/>
      <c r="L60" s="265" t="str">
        <f t="shared" si="0"/>
        <v/>
      </c>
      <c r="M60" s="279"/>
      <c r="N60" s="278"/>
      <c r="O60" s="278"/>
      <c r="P60" s="278"/>
      <c r="Q60" s="278"/>
      <c r="R60" s="278"/>
      <c r="S60" s="278"/>
      <c r="T60" s="278"/>
      <c r="U60" s="278"/>
      <c r="V60" s="278"/>
      <c r="W60" s="278"/>
      <c r="X60" s="278"/>
      <c r="Y60" s="278"/>
      <c r="Z60" s="278"/>
      <c r="AA60" s="280"/>
      <c r="AB60" s="281" t="str">
        <f>IF(Table14[[#This Row],[NABERS Energy Rating 
(Stars)]]&gt;=4, "YES", "NO")</f>
        <v>NO</v>
      </c>
      <c r="AC60" s="290">
        <f t="shared" si="2"/>
        <v>0</v>
      </c>
      <c r="AD60" s="282">
        <f>IF(E60="Whole Building",VLOOKUP(AC60,'Points Table'!$B$13:$C$36,2,TRUE),IF(OR(E60="Base Building", E60="Shopping Centre"),VLOOKUP(AC60,'Points Table'!$E$13:$F$33,2,TRUE),0))</f>
        <v>0</v>
      </c>
    </row>
    <row r="61" spans="2:30">
      <c r="B61" s="294"/>
      <c r="C61" s="294"/>
      <c r="D61" s="294"/>
      <c r="E61" s="294"/>
      <c r="F61" s="293"/>
      <c r="G61" s="293"/>
      <c r="H61" s="293"/>
      <c r="I61" s="293"/>
      <c r="J61" s="278"/>
      <c r="K61" s="278"/>
      <c r="L61" s="265" t="str">
        <f t="shared" si="0"/>
        <v/>
      </c>
      <c r="M61" s="279"/>
      <c r="N61" s="278"/>
      <c r="O61" s="278"/>
      <c r="P61" s="278"/>
      <c r="Q61" s="278"/>
      <c r="R61" s="278"/>
      <c r="S61" s="278"/>
      <c r="T61" s="278"/>
      <c r="U61" s="278"/>
      <c r="V61" s="278"/>
      <c r="W61" s="278"/>
      <c r="X61" s="278"/>
      <c r="Y61" s="278"/>
      <c r="Z61" s="278"/>
      <c r="AA61" s="280"/>
      <c r="AB61" s="281" t="str">
        <f>IF(Table14[[#This Row],[NABERS Energy Rating 
(Stars)]]&gt;=4, "YES", "NO")</f>
        <v>NO</v>
      </c>
      <c r="AC61" s="290">
        <f t="shared" si="2"/>
        <v>0</v>
      </c>
      <c r="AD61" s="282">
        <f>IF(E61="Whole Building",VLOOKUP(AC61,'Points Table'!$B$13:$C$36,2,TRUE),IF(OR(E61="Base Building", E61="Shopping Centre"),VLOOKUP(AC61,'Points Table'!$E$13:$F$33,2,TRUE),0))</f>
        <v>0</v>
      </c>
    </row>
    <row r="62" spans="2:30">
      <c r="B62" s="294"/>
      <c r="C62" s="294"/>
      <c r="D62" s="294"/>
      <c r="E62" s="294"/>
      <c r="F62" s="293"/>
      <c r="G62" s="293"/>
      <c r="H62" s="293"/>
      <c r="I62" s="293"/>
      <c r="J62" s="278"/>
      <c r="K62" s="279"/>
      <c r="L62" s="265" t="str">
        <f t="shared" si="0"/>
        <v/>
      </c>
      <c r="M62" s="279"/>
      <c r="N62" s="278"/>
      <c r="O62" s="278"/>
      <c r="P62" s="278"/>
      <c r="Q62" s="278"/>
      <c r="R62" s="278"/>
      <c r="S62" s="278"/>
      <c r="T62" s="278"/>
      <c r="U62" s="278"/>
      <c r="V62" s="278"/>
      <c r="W62" s="278"/>
      <c r="X62" s="278"/>
      <c r="Y62" s="278"/>
      <c r="Z62" s="278"/>
      <c r="AA62" s="280"/>
      <c r="AB62" s="281" t="str">
        <f>IF(Table14[[#This Row],[NABERS Energy Rating 
(Stars)]]&gt;=4, "YES", "NO")</f>
        <v>NO</v>
      </c>
      <c r="AC62" s="290">
        <f t="shared" si="2"/>
        <v>0</v>
      </c>
      <c r="AD62" s="282">
        <f>IF(E62="Whole Building",VLOOKUP(AC62,'Points Table'!$B$13:$C$36,2,TRUE),IF(OR(E62="Base Building", E62="Shopping Centre"),VLOOKUP(AC62,'Points Table'!$E$13:$F$33,2,TRUE),0))</f>
        <v>0</v>
      </c>
    </row>
    <row r="63" spans="2:30">
      <c r="B63" s="294"/>
      <c r="C63" s="294"/>
      <c r="D63" s="294"/>
      <c r="E63" s="294"/>
      <c r="F63" s="293"/>
      <c r="G63" s="293"/>
      <c r="H63" s="293"/>
      <c r="I63" s="293"/>
      <c r="J63" s="278"/>
      <c r="K63" s="278"/>
      <c r="L63" s="265" t="str">
        <f t="shared" si="0"/>
        <v/>
      </c>
      <c r="M63" s="279"/>
      <c r="N63" s="278"/>
      <c r="O63" s="278"/>
      <c r="P63" s="278"/>
      <c r="Q63" s="278"/>
      <c r="R63" s="278"/>
      <c r="S63" s="278"/>
      <c r="T63" s="278"/>
      <c r="U63" s="278"/>
      <c r="V63" s="278"/>
      <c r="W63" s="278"/>
      <c r="X63" s="278"/>
      <c r="Y63" s="278"/>
      <c r="Z63" s="278"/>
      <c r="AA63" s="280"/>
      <c r="AB63" s="281" t="str">
        <f>IF(Table14[[#This Row],[NABERS Energy Rating 
(Stars)]]&gt;=4, "YES", "NO")</f>
        <v>NO</v>
      </c>
      <c r="AC63" s="290">
        <f t="shared" si="2"/>
        <v>0</v>
      </c>
      <c r="AD63" s="282">
        <f>IF(E63="Whole Building",VLOOKUP(AC63,'Points Table'!$B$13:$C$36,2,TRUE),IF(OR(E63="Base Building", E63="Shopping Centre"),VLOOKUP(AC63,'Points Table'!$E$13:$F$33,2,TRUE),0))</f>
        <v>0</v>
      </c>
    </row>
    <row r="64" spans="2:30">
      <c r="B64" s="294"/>
      <c r="C64" s="294"/>
      <c r="D64" s="294"/>
      <c r="E64" s="294"/>
      <c r="F64" s="293"/>
      <c r="G64" s="293"/>
      <c r="H64" s="293"/>
      <c r="I64" s="293"/>
      <c r="J64" s="278"/>
      <c r="K64" s="278"/>
      <c r="L64" s="265" t="str">
        <f t="shared" si="0"/>
        <v/>
      </c>
      <c r="M64" s="279"/>
      <c r="N64" s="278"/>
      <c r="O64" s="278"/>
      <c r="P64" s="278"/>
      <c r="Q64" s="278"/>
      <c r="R64" s="278"/>
      <c r="S64" s="278"/>
      <c r="T64" s="278"/>
      <c r="U64" s="278"/>
      <c r="V64" s="278"/>
      <c r="W64" s="278"/>
      <c r="X64" s="278"/>
      <c r="Y64" s="278"/>
      <c r="Z64" s="278"/>
      <c r="AA64" s="280"/>
      <c r="AB64" s="281" t="str">
        <f>IF(Table14[[#This Row],[NABERS Energy Rating 
(Stars)]]&gt;=4, "YES", "NO")</f>
        <v>NO</v>
      </c>
      <c r="AC64" s="290">
        <f t="shared" si="2"/>
        <v>0</v>
      </c>
      <c r="AD64" s="282">
        <f>IF(E64="Whole Building",VLOOKUP(AC64,'Points Table'!$B$13:$C$36,2,TRUE),IF(OR(E64="Base Building", E64="Shopping Centre"),VLOOKUP(AC64,'Points Table'!$E$13:$F$33,2,TRUE),0))</f>
        <v>0</v>
      </c>
    </row>
    <row r="65" spans="2:30">
      <c r="B65" s="294"/>
      <c r="C65" s="294"/>
      <c r="D65" s="294"/>
      <c r="E65" s="294"/>
      <c r="F65" s="293"/>
      <c r="G65" s="293"/>
      <c r="H65" s="293"/>
      <c r="I65" s="293"/>
      <c r="J65" s="278"/>
      <c r="K65" s="278"/>
      <c r="L65" s="265" t="str">
        <f t="shared" si="0"/>
        <v/>
      </c>
      <c r="M65" s="279"/>
      <c r="N65" s="278"/>
      <c r="O65" s="278"/>
      <c r="P65" s="278"/>
      <c r="Q65" s="278"/>
      <c r="R65" s="278"/>
      <c r="S65" s="278"/>
      <c r="T65" s="278"/>
      <c r="U65" s="278"/>
      <c r="V65" s="278"/>
      <c r="W65" s="278"/>
      <c r="X65" s="278"/>
      <c r="Y65" s="278"/>
      <c r="Z65" s="278"/>
      <c r="AA65" s="280"/>
      <c r="AB65" s="281" t="str">
        <f>IF(Table14[[#This Row],[NABERS Energy Rating 
(Stars)]]&gt;=4, "YES", "NO")</f>
        <v>NO</v>
      </c>
      <c r="AC65" s="290">
        <f t="shared" si="2"/>
        <v>0</v>
      </c>
      <c r="AD65" s="282">
        <f>IF(E65="Whole Building",VLOOKUP(AC65,'Points Table'!$B$13:$C$36,2,TRUE),IF(OR(E65="Base Building", E65="Shopping Centre"),VLOOKUP(AC65,'Points Table'!$E$13:$F$33,2,TRUE),0))</f>
        <v>0</v>
      </c>
    </row>
    <row r="66" spans="2:30">
      <c r="B66" s="294"/>
      <c r="C66" s="294"/>
      <c r="D66" s="294"/>
      <c r="E66" s="294"/>
      <c r="F66" s="293"/>
      <c r="G66" s="293"/>
      <c r="H66" s="293"/>
      <c r="I66" s="293"/>
      <c r="J66" s="278"/>
      <c r="K66" s="278"/>
      <c r="L66" s="265" t="str">
        <f t="shared" si="0"/>
        <v/>
      </c>
      <c r="M66" s="279"/>
      <c r="N66" s="278"/>
      <c r="O66" s="278"/>
      <c r="P66" s="278"/>
      <c r="Q66" s="278"/>
      <c r="R66" s="278"/>
      <c r="S66" s="278"/>
      <c r="T66" s="278"/>
      <c r="U66" s="278"/>
      <c r="V66" s="278"/>
      <c r="W66" s="278"/>
      <c r="X66" s="278"/>
      <c r="Y66" s="278"/>
      <c r="Z66" s="278"/>
      <c r="AA66" s="280"/>
      <c r="AB66" s="281" t="str">
        <f>IF(Table14[[#This Row],[NABERS Energy Rating 
(Stars)]]&gt;=4, "YES", "NO")</f>
        <v>NO</v>
      </c>
      <c r="AC66" s="290">
        <f t="shared" si="2"/>
        <v>0</v>
      </c>
      <c r="AD66" s="282">
        <f>IF(E66="Whole Building",VLOOKUP(AC66,'Points Table'!$B$13:$C$36,2,TRUE),IF(OR(E66="Base Building", E66="Shopping Centre"),VLOOKUP(AC66,'Points Table'!$E$13:$F$33,2,TRUE),0))</f>
        <v>0</v>
      </c>
    </row>
    <row r="67" spans="2:30">
      <c r="B67" s="294"/>
      <c r="C67" s="294"/>
      <c r="D67" s="294"/>
      <c r="E67" s="294"/>
      <c r="F67" s="293"/>
      <c r="G67" s="293"/>
      <c r="H67" s="293"/>
      <c r="I67" s="293"/>
      <c r="J67" s="278"/>
      <c r="K67" s="278"/>
      <c r="L67" s="265" t="str">
        <f t="shared" si="0"/>
        <v/>
      </c>
      <c r="M67" s="279"/>
      <c r="N67" s="278"/>
      <c r="O67" s="278"/>
      <c r="P67" s="278"/>
      <c r="Q67" s="278"/>
      <c r="R67" s="278"/>
      <c r="S67" s="278"/>
      <c r="T67" s="278"/>
      <c r="U67" s="278"/>
      <c r="V67" s="278"/>
      <c r="W67" s="278"/>
      <c r="X67" s="278"/>
      <c r="Y67" s="278"/>
      <c r="Z67" s="278"/>
      <c r="AA67" s="280"/>
      <c r="AB67" s="281" t="str">
        <f>IF(Table14[[#This Row],[NABERS Energy Rating 
(Stars)]]&gt;=4, "YES", "NO")</f>
        <v>NO</v>
      </c>
      <c r="AC67" s="290">
        <f t="shared" si="2"/>
        <v>0</v>
      </c>
      <c r="AD67" s="282">
        <f>IF(E67="Whole Building",VLOOKUP(AC67,'Points Table'!$B$13:$C$36,2,TRUE),IF(OR(E67="Base Building", E67="Shopping Centre"),VLOOKUP(AC67,'Points Table'!$E$13:$F$33,2,TRUE),0))</f>
        <v>0</v>
      </c>
    </row>
    <row r="68" spans="2:30">
      <c r="B68" s="294"/>
      <c r="C68" s="294"/>
      <c r="D68" s="294"/>
      <c r="E68" s="294"/>
      <c r="F68" s="293"/>
      <c r="G68" s="293"/>
      <c r="H68" s="293"/>
      <c r="I68" s="293"/>
      <c r="J68" s="278"/>
      <c r="K68" s="279"/>
      <c r="L68" s="265" t="str">
        <f t="shared" si="0"/>
        <v/>
      </c>
      <c r="M68" s="279"/>
      <c r="N68" s="278"/>
      <c r="O68" s="278"/>
      <c r="P68" s="278"/>
      <c r="Q68" s="278"/>
      <c r="R68" s="278"/>
      <c r="S68" s="278"/>
      <c r="T68" s="278"/>
      <c r="U68" s="278"/>
      <c r="V68" s="278"/>
      <c r="W68" s="278"/>
      <c r="X68" s="278"/>
      <c r="Y68" s="278"/>
      <c r="Z68" s="278"/>
      <c r="AA68" s="280"/>
      <c r="AB68" s="281" t="str">
        <f>IF(Table14[[#This Row],[NABERS Energy Rating 
(Stars)]]&gt;=4, "YES", "NO")</f>
        <v>NO</v>
      </c>
      <c r="AC68" s="290">
        <f t="shared" si="2"/>
        <v>0</v>
      </c>
      <c r="AD68" s="282">
        <f>IF(E68="Whole Building",VLOOKUP(AC68,'Points Table'!$B$13:$C$36,2,TRUE),IF(OR(E68="Base Building", E68="Shopping Centre"),VLOOKUP(AC68,'Points Table'!$E$13:$F$33,2,TRUE),0))</f>
        <v>0</v>
      </c>
    </row>
    <row r="69" spans="2:30">
      <c r="B69" s="294"/>
      <c r="C69" s="294"/>
      <c r="D69" s="294"/>
      <c r="E69" s="294"/>
      <c r="F69" s="293"/>
      <c r="G69" s="293"/>
      <c r="H69" s="293"/>
      <c r="I69" s="293"/>
      <c r="J69" s="278"/>
      <c r="K69" s="279"/>
      <c r="L69" s="265" t="str">
        <f t="shared" si="0"/>
        <v/>
      </c>
      <c r="M69" s="279"/>
      <c r="N69" s="278"/>
      <c r="O69" s="278"/>
      <c r="P69" s="278"/>
      <c r="Q69" s="278"/>
      <c r="R69" s="278"/>
      <c r="S69" s="278"/>
      <c r="T69" s="278"/>
      <c r="U69" s="278"/>
      <c r="V69" s="278"/>
      <c r="W69" s="278"/>
      <c r="X69" s="278"/>
      <c r="Y69" s="278"/>
      <c r="Z69" s="278"/>
      <c r="AA69" s="280"/>
      <c r="AB69" s="281" t="str">
        <f>IF(Table14[[#This Row],[NABERS Energy Rating 
(Stars)]]&gt;=4, "YES", "NO")</f>
        <v>NO</v>
      </c>
      <c r="AC69" s="290">
        <f t="shared" si="2"/>
        <v>0</v>
      </c>
      <c r="AD69" s="282">
        <f>IF(E69="Whole Building",VLOOKUP(AC69,'Points Table'!$B$13:$C$36,2,TRUE),IF(OR(E69="Base Building", E69="Shopping Centre"),VLOOKUP(AC69,'Points Table'!$E$13:$F$33,2,TRUE),0))</f>
        <v>0</v>
      </c>
    </row>
    <row r="70" spans="2:30">
      <c r="B70" s="294"/>
      <c r="C70" s="294"/>
      <c r="D70" s="294"/>
      <c r="E70" s="294"/>
      <c r="F70" s="293"/>
      <c r="G70" s="293"/>
      <c r="H70" s="293"/>
      <c r="I70" s="293"/>
      <c r="J70" s="278"/>
      <c r="K70" s="279"/>
      <c r="L70" s="265" t="str">
        <f t="shared" si="0"/>
        <v/>
      </c>
      <c r="M70" s="279"/>
      <c r="N70" s="278"/>
      <c r="O70" s="278"/>
      <c r="P70" s="278"/>
      <c r="Q70" s="278"/>
      <c r="R70" s="278"/>
      <c r="S70" s="278"/>
      <c r="T70" s="278"/>
      <c r="U70" s="278"/>
      <c r="V70" s="278"/>
      <c r="W70" s="278"/>
      <c r="X70" s="278"/>
      <c r="Y70" s="278"/>
      <c r="Z70" s="278"/>
      <c r="AA70" s="280"/>
      <c r="AB70" s="281" t="str">
        <f>IF(Table14[[#This Row],[NABERS Energy Rating 
(Stars)]]&gt;=4, "YES", "NO")</f>
        <v>NO</v>
      </c>
      <c r="AC70" s="290">
        <f t="shared" si="2"/>
        <v>0</v>
      </c>
      <c r="AD70" s="282">
        <f>IF(E70="Whole Building",VLOOKUP(AC70,'Points Table'!$B$13:$C$36,2,TRUE),IF(OR(E70="Base Building", E70="Shopping Centre"),VLOOKUP(AC70,'Points Table'!$E$13:$F$33,2,TRUE),0))</f>
        <v>0</v>
      </c>
    </row>
    <row r="71" spans="2:30">
      <c r="B71" s="294"/>
      <c r="C71" s="294"/>
      <c r="D71" s="294"/>
      <c r="E71" s="294"/>
      <c r="F71" s="293"/>
      <c r="G71" s="293"/>
      <c r="H71" s="293"/>
      <c r="I71" s="293"/>
      <c r="J71" s="278"/>
      <c r="K71" s="279"/>
      <c r="L71" s="265" t="str">
        <f t="shared" si="0"/>
        <v/>
      </c>
      <c r="M71" s="279"/>
      <c r="N71" s="278"/>
      <c r="O71" s="278"/>
      <c r="P71" s="278"/>
      <c r="Q71" s="278"/>
      <c r="R71" s="278"/>
      <c r="S71" s="278"/>
      <c r="T71" s="278"/>
      <c r="U71" s="278"/>
      <c r="V71" s="278"/>
      <c r="W71" s="278"/>
      <c r="X71" s="278"/>
      <c r="Y71" s="278"/>
      <c r="Z71" s="278"/>
      <c r="AA71" s="280"/>
      <c r="AB71" s="281" t="str">
        <f>IF(Table14[[#This Row],[NABERS Energy Rating 
(Stars)]]&gt;=4, "YES", "NO")</f>
        <v>NO</v>
      </c>
      <c r="AC71" s="290">
        <f t="shared" si="2"/>
        <v>0</v>
      </c>
      <c r="AD71" s="282">
        <f>IF(E71="Whole Building",VLOOKUP(AC71,'Points Table'!$B$13:$C$36,2,TRUE),IF(OR(E71="Base Building", E71="Shopping Centre"),VLOOKUP(AC71,'Points Table'!$E$13:$F$33,2,TRUE),0))</f>
        <v>0</v>
      </c>
    </row>
    <row r="72" spans="2:30">
      <c r="B72" s="294"/>
      <c r="C72" s="294"/>
      <c r="D72" s="294"/>
      <c r="E72" s="294"/>
      <c r="F72" s="293"/>
      <c r="G72" s="293"/>
      <c r="H72" s="293"/>
      <c r="I72" s="293"/>
      <c r="J72" s="278"/>
      <c r="K72" s="278"/>
      <c r="L72" s="265" t="str">
        <f t="shared" si="0"/>
        <v/>
      </c>
      <c r="M72" s="279"/>
      <c r="N72" s="278"/>
      <c r="O72" s="278"/>
      <c r="P72" s="278"/>
      <c r="Q72" s="278"/>
      <c r="R72" s="278"/>
      <c r="S72" s="278"/>
      <c r="T72" s="278"/>
      <c r="U72" s="278"/>
      <c r="V72" s="278"/>
      <c r="W72" s="278"/>
      <c r="X72" s="278"/>
      <c r="Y72" s="278"/>
      <c r="Z72" s="278"/>
      <c r="AA72" s="280"/>
      <c r="AB72" s="281" t="str">
        <f>IF(Table14[[#This Row],[NABERS Energy Rating 
(Stars)]]&gt;=4, "YES", "NO")</f>
        <v>NO</v>
      </c>
      <c r="AC72" s="290">
        <f t="shared" si="2"/>
        <v>0</v>
      </c>
      <c r="AD72" s="282">
        <f>IF(E72="Whole Building",VLOOKUP(AC72,'Points Table'!$B$13:$C$36,2,TRUE),IF(OR(E72="Base Building", E72="Shopping Centre"),VLOOKUP(AC72,'Points Table'!$E$13:$F$33,2,TRUE),0))</f>
        <v>0</v>
      </c>
    </row>
    <row r="73" spans="2:30">
      <c r="B73" s="294"/>
      <c r="C73" s="294"/>
      <c r="D73" s="294"/>
      <c r="E73" s="294"/>
      <c r="F73" s="293"/>
      <c r="G73" s="293"/>
      <c r="H73" s="293"/>
      <c r="I73" s="293"/>
      <c r="J73" s="278"/>
      <c r="K73" s="279"/>
      <c r="L73" s="265" t="str">
        <f t="shared" si="0"/>
        <v/>
      </c>
      <c r="M73" s="279"/>
      <c r="N73" s="278"/>
      <c r="O73" s="278"/>
      <c r="P73" s="278"/>
      <c r="Q73" s="278"/>
      <c r="R73" s="278"/>
      <c r="S73" s="278"/>
      <c r="T73" s="278"/>
      <c r="U73" s="278"/>
      <c r="V73" s="278"/>
      <c r="W73" s="278"/>
      <c r="X73" s="278"/>
      <c r="Y73" s="278"/>
      <c r="Z73" s="278"/>
      <c r="AA73" s="280"/>
      <c r="AB73" s="281" t="str">
        <f>IF(Table14[[#This Row],[NABERS Energy Rating 
(Stars)]]&gt;=4, "YES", "NO")</f>
        <v>NO</v>
      </c>
      <c r="AC73" s="290">
        <f t="shared" si="2"/>
        <v>0</v>
      </c>
      <c r="AD73" s="282">
        <f>IF(E73="Whole Building",VLOOKUP(AC73,'Points Table'!$B$13:$C$36,2,TRUE),IF(OR(E73="Base Building", E73="Shopping Centre"),VLOOKUP(AC73,'Points Table'!$E$13:$F$33,2,TRUE),0))</f>
        <v>0</v>
      </c>
    </row>
    <row r="74" spans="2:30">
      <c r="B74" s="294"/>
      <c r="C74" s="294"/>
      <c r="D74" s="294"/>
      <c r="E74" s="294"/>
      <c r="F74" s="293"/>
      <c r="G74" s="293"/>
      <c r="H74" s="293"/>
      <c r="I74" s="293"/>
      <c r="J74" s="278"/>
      <c r="K74" s="279"/>
      <c r="L74" s="265" t="str">
        <f t="shared" ref="L74:L110" si="3">IF(ISBLANK(K74),"",DATE(YEAR(K74)+1,MONTH(K74),DAY(K74)-1))</f>
        <v/>
      </c>
      <c r="M74" s="279"/>
      <c r="N74" s="278"/>
      <c r="O74" s="278"/>
      <c r="P74" s="278"/>
      <c r="Q74" s="278"/>
      <c r="R74" s="278"/>
      <c r="S74" s="278"/>
      <c r="T74" s="278"/>
      <c r="U74" s="278"/>
      <c r="V74" s="278"/>
      <c r="W74" s="278"/>
      <c r="X74" s="278"/>
      <c r="Y74" s="278"/>
      <c r="Z74" s="278"/>
      <c r="AA74" s="280"/>
      <c r="AB74" s="281" t="str">
        <f>IF(Table14[[#This Row],[NABERS Energy Rating 
(Stars)]]&gt;=4, "YES", "NO")</f>
        <v>NO</v>
      </c>
      <c r="AC74" s="290">
        <f t="shared" ref="AC74:AC110" si="4">IF(Z74="",0,MAX(0,IFERROR((H74-Z74)/H74,0)))</f>
        <v>0</v>
      </c>
      <c r="AD74" s="282">
        <f>IF(E74="Whole Building",VLOOKUP(AC74,'Points Table'!$B$13:$C$36,2,TRUE),IF(OR(E74="Base Building", E74="Shopping Centre"),VLOOKUP(AC74,'Points Table'!$E$13:$F$33,2,TRUE),0))</f>
        <v>0</v>
      </c>
    </row>
    <row r="75" spans="2:30">
      <c r="B75" s="294"/>
      <c r="C75" s="294"/>
      <c r="D75" s="294"/>
      <c r="E75" s="294"/>
      <c r="F75" s="293"/>
      <c r="G75" s="293"/>
      <c r="H75" s="293"/>
      <c r="I75" s="293"/>
      <c r="J75" s="278"/>
      <c r="K75" s="278"/>
      <c r="L75" s="265" t="str">
        <f t="shared" si="3"/>
        <v/>
      </c>
      <c r="M75" s="279"/>
      <c r="N75" s="278"/>
      <c r="O75" s="278"/>
      <c r="P75" s="278"/>
      <c r="Q75" s="278"/>
      <c r="R75" s="278"/>
      <c r="S75" s="278"/>
      <c r="T75" s="278"/>
      <c r="U75" s="278"/>
      <c r="V75" s="278"/>
      <c r="W75" s="278"/>
      <c r="X75" s="278"/>
      <c r="Y75" s="278"/>
      <c r="Z75" s="278"/>
      <c r="AA75" s="280"/>
      <c r="AB75" s="281" t="str">
        <f>IF(Table14[[#This Row],[NABERS Energy Rating 
(Stars)]]&gt;=4, "YES", "NO")</f>
        <v>NO</v>
      </c>
      <c r="AC75" s="290">
        <f t="shared" si="4"/>
        <v>0</v>
      </c>
      <c r="AD75" s="282">
        <f>IF(E75="Whole Building",VLOOKUP(AC75,'Points Table'!$B$13:$C$36,2,TRUE),IF(OR(E75="Base Building", E75="Shopping Centre"),VLOOKUP(AC75,'Points Table'!$E$13:$F$33,2,TRUE),0))</f>
        <v>0</v>
      </c>
    </row>
    <row r="76" spans="2:30">
      <c r="B76" s="294"/>
      <c r="C76" s="294"/>
      <c r="D76" s="294"/>
      <c r="E76" s="294"/>
      <c r="F76" s="293"/>
      <c r="G76" s="293"/>
      <c r="H76" s="293"/>
      <c r="I76" s="293"/>
      <c r="J76" s="278"/>
      <c r="K76" s="278"/>
      <c r="L76" s="265" t="str">
        <f t="shared" si="3"/>
        <v/>
      </c>
      <c r="M76" s="279"/>
      <c r="N76" s="278"/>
      <c r="O76" s="278"/>
      <c r="P76" s="278"/>
      <c r="Q76" s="278"/>
      <c r="R76" s="278"/>
      <c r="S76" s="278"/>
      <c r="T76" s="278"/>
      <c r="U76" s="278"/>
      <c r="V76" s="278"/>
      <c r="W76" s="278"/>
      <c r="X76" s="278"/>
      <c r="Y76" s="278"/>
      <c r="Z76" s="278"/>
      <c r="AA76" s="280"/>
      <c r="AB76" s="281" t="str">
        <f>IF(Table14[[#This Row],[NABERS Energy Rating 
(Stars)]]&gt;=4, "YES", "NO")</f>
        <v>NO</v>
      </c>
      <c r="AC76" s="290">
        <f t="shared" si="4"/>
        <v>0</v>
      </c>
      <c r="AD76" s="282">
        <f>IF(E76="Whole Building",VLOOKUP(AC76,'Points Table'!$B$13:$C$36,2,TRUE),IF(OR(E76="Base Building", E76="Shopping Centre"),VLOOKUP(AC76,'Points Table'!$E$13:$F$33,2,TRUE),0))</f>
        <v>0</v>
      </c>
    </row>
    <row r="77" spans="2:30">
      <c r="B77" s="294"/>
      <c r="C77" s="294"/>
      <c r="D77" s="294"/>
      <c r="E77" s="294"/>
      <c r="F77" s="293"/>
      <c r="G77" s="293"/>
      <c r="H77" s="293"/>
      <c r="I77" s="293"/>
      <c r="J77" s="278"/>
      <c r="K77" s="278"/>
      <c r="L77" s="265" t="str">
        <f t="shared" si="3"/>
        <v/>
      </c>
      <c r="M77" s="279"/>
      <c r="N77" s="278"/>
      <c r="O77" s="278"/>
      <c r="P77" s="278"/>
      <c r="Q77" s="278"/>
      <c r="R77" s="278"/>
      <c r="S77" s="278"/>
      <c r="T77" s="278"/>
      <c r="U77" s="278"/>
      <c r="V77" s="278"/>
      <c r="W77" s="278"/>
      <c r="X77" s="278"/>
      <c r="Y77" s="278"/>
      <c r="Z77" s="278"/>
      <c r="AA77" s="280"/>
      <c r="AB77" s="281" t="str">
        <f>IF(Table14[[#This Row],[NABERS Energy Rating 
(Stars)]]&gt;=4, "YES", "NO")</f>
        <v>NO</v>
      </c>
      <c r="AC77" s="290">
        <f t="shared" si="4"/>
        <v>0</v>
      </c>
      <c r="AD77" s="282">
        <f>IF(E77="Whole Building",VLOOKUP(AC77,'Points Table'!$B$13:$C$36,2,TRUE),IF(OR(E77="Base Building", E77="Shopping Centre"),VLOOKUP(AC77,'Points Table'!$E$13:$F$33,2,TRUE),0))</f>
        <v>0</v>
      </c>
    </row>
    <row r="78" spans="2:30">
      <c r="B78" s="294"/>
      <c r="C78" s="294"/>
      <c r="D78" s="294"/>
      <c r="E78" s="294"/>
      <c r="F78" s="293"/>
      <c r="G78" s="293"/>
      <c r="H78" s="293"/>
      <c r="I78" s="293"/>
      <c r="J78" s="278"/>
      <c r="K78" s="278"/>
      <c r="L78" s="265" t="str">
        <f t="shared" si="3"/>
        <v/>
      </c>
      <c r="M78" s="279"/>
      <c r="N78" s="278"/>
      <c r="O78" s="278"/>
      <c r="P78" s="278"/>
      <c r="Q78" s="278"/>
      <c r="R78" s="278"/>
      <c r="S78" s="278"/>
      <c r="T78" s="278"/>
      <c r="U78" s="278"/>
      <c r="V78" s="278"/>
      <c r="W78" s="278"/>
      <c r="X78" s="278"/>
      <c r="Y78" s="278"/>
      <c r="Z78" s="278"/>
      <c r="AA78" s="280"/>
      <c r="AB78" s="281" t="str">
        <f>IF(Table14[[#This Row],[NABERS Energy Rating 
(Stars)]]&gt;=4, "YES", "NO")</f>
        <v>NO</v>
      </c>
      <c r="AC78" s="290">
        <f t="shared" si="4"/>
        <v>0</v>
      </c>
      <c r="AD78" s="282">
        <f>IF(E78="Whole Building",VLOOKUP(AC78,'Points Table'!$B$13:$C$36,2,TRUE),IF(OR(E78="Base Building", E78="Shopping Centre"),VLOOKUP(AC78,'Points Table'!$E$13:$F$33,2,TRUE),0))</f>
        <v>0</v>
      </c>
    </row>
    <row r="79" spans="2:30">
      <c r="B79" s="294"/>
      <c r="C79" s="294"/>
      <c r="D79" s="294"/>
      <c r="E79" s="294"/>
      <c r="F79" s="293"/>
      <c r="G79" s="293"/>
      <c r="H79" s="293"/>
      <c r="I79" s="293"/>
      <c r="J79" s="278"/>
      <c r="K79" s="278"/>
      <c r="L79" s="265" t="str">
        <f t="shared" si="3"/>
        <v/>
      </c>
      <c r="M79" s="279"/>
      <c r="N79" s="278"/>
      <c r="O79" s="278"/>
      <c r="P79" s="278"/>
      <c r="Q79" s="278"/>
      <c r="R79" s="278"/>
      <c r="S79" s="278"/>
      <c r="T79" s="278"/>
      <c r="U79" s="278"/>
      <c r="V79" s="278"/>
      <c r="W79" s="278"/>
      <c r="X79" s="278"/>
      <c r="Y79" s="278"/>
      <c r="Z79" s="278"/>
      <c r="AA79" s="280"/>
      <c r="AB79" s="281" t="str">
        <f>IF(Table14[[#This Row],[NABERS Energy Rating 
(Stars)]]&gt;=4, "YES", "NO")</f>
        <v>NO</v>
      </c>
      <c r="AC79" s="290">
        <f t="shared" si="4"/>
        <v>0</v>
      </c>
      <c r="AD79" s="282">
        <f>IF(E79="Whole Building",VLOOKUP(AC79,'Points Table'!$B$13:$C$36,2,TRUE),IF(OR(E79="Base Building", E79="Shopping Centre"),VLOOKUP(AC79,'Points Table'!$E$13:$F$33,2,TRUE),0))</f>
        <v>0</v>
      </c>
    </row>
    <row r="80" spans="2:30">
      <c r="B80" s="294"/>
      <c r="C80" s="294"/>
      <c r="D80" s="294"/>
      <c r="E80" s="294"/>
      <c r="F80" s="293"/>
      <c r="G80" s="293"/>
      <c r="H80" s="293"/>
      <c r="I80" s="293"/>
      <c r="J80" s="278"/>
      <c r="K80" s="278"/>
      <c r="L80" s="265" t="str">
        <f t="shared" si="3"/>
        <v/>
      </c>
      <c r="M80" s="279"/>
      <c r="N80" s="278"/>
      <c r="O80" s="278"/>
      <c r="P80" s="278"/>
      <c r="Q80" s="278"/>
      <c r="R80" s="278"/>
      <c r="S80" s="278"/>
      <c r="T80" s="278"/>
      <c r="U80" s="278"/>
      <c r="V80" s="278"/>
      <c r="W80" s="278"/>
      <c r="X80" s="278"/>
      <c r="Y80" s="278"/>
      <c r="Z80" s="278"/>
      <c r="AA80" s="280"/>
      <c r="AB80" s="281" t="str">
        <f>IF(Table14[[#This Row],[NABERS Energy Rating 
(Stars)]]&gt;=4, "YES", "NO")</f>
        <v>NO</v>
      </c>
      <c r="AC80" s="290">
        <f t="shared" si="4"/>
        <v>0</v>
      </c>
      <c r="AD80" s="282">
        <f>IF(E80="Whole Building",VLOOKUP(AC80,'Points Table'!$B$13:$C$36,2,TRUE),IF(OR(E80="Base Building", E80="Shopping Centre"),VLOOKUP(AC80,'Points Table'!$E$13:$F$33,2,TRUE),0))</f>
        <v>0</v>
      </c>
    </row>
    <row r="81" spans="2:30">
      <c r="B81" s="294"/>
      <c r="C81" s="294"/>
      <c r="D81" s="294"/>
      <c r="E81" s="294"/>
      <c r="F81" s="293"/>
      <c r="G81" s="293"/>
      <c r="H81" s="293"/>
      <c r="I81" s="293"/>
      <c r="J81" s="278"/>
      <c r="K81" s="278"/>
      <c r="L81" s="265" t="str">
        <f t="shared" si="3"/>
        <v/>
      </c>
      <c r="M81" s="279"/>
      <c r="N81" s="278"/>
      <c r="O81" s="278"/>
      <c r="P81" s="278"/>
      <c r="Q81" s="278"/>
      <c r="R81" s="278"/>
      <c r="S81" s="278"/>
      <c r="T81" s="278"/>
      <c r="U81" s="278"/>
      <c r="V81" s="278"/>
      <c r="W81" s="278"/>
      <c r="X81" s="278"/>
      <c r="Y81" s="278"/>
      <c r="Z81" s="278"/>
      <c r="AA81" s="280"/>
      <c r="AB81" s="281" t="str">
        <f>IF(Table14[[#This Row],[NABERS Energy Rating 
(Stars)]]&gt;=4, "YES", "NO")</f>
        <v>NO</v>
      </c>
      <c r="AC81" s="290">
        <f t="shared" si="4"/>
        <v>0</v>
      </c>
      <c r="AD81" s="282">
        <f>IF(E81="Whole Building",VLOOKUP(AC81,'Points Table'!$B$13:$C$36,2,TRUE),IF(OR(E81="Base Building", E81="Shopping Centre"),VLOOKUP(AC81,'Points Table'!$E$13:$F$33,2,TRUE),0))</f>
        <v>0</v>
      </c>
    </row>
    <row r="82" spans="2:30">
      <c r="B82" s="294"/>
      <c r="C82" s="294"/>
      <c r="D82" s="294"/>
      <c r="E82" s="294"/>
      <c r="F82" s="293"/>
      <c r="G82" s="293"/>
      <c r="H82" s="293"/>
      <c r="I82" s="293"/>
      <c r="J82" s="278"/>
      <c r="K82" s="278"/>
      <c r="L82" s="265" t="str">
        <f t="shared" si="3"/>
        <v/>
      </c>
      <c r="M82" s="279"/>
      <c r="N82" s="278"/>
      <c r="O82" s="278"/>
      <c r="P82" s="278"/>
      <c r="Q82" s="278"/>
      <c r="R82" s="278"/>
      <c r="S82" s="278"/>
      <c r="T82" s="278"/>
      <c r="U82" s="278"/>
      <c r="V82" s="278"/>
      <c r="W82" s="278"/>
      <c r="X82" s="278"/>
      <c r="Y82" s="278"/>
      <c r="Z82" s="278"/>
      <c r="AA82" s="280"/>
      <c r="AB82" s="281" t="str">
        <f>IF(Table14[[#This Row],[NABERS Energy Rating 
(Stars)]]&gt;=4, "YES", "NO")</f>
        <v>NO</v>
      </c>
      <c r="AC82" s="290">
        <f t="shared" si="4"/>
        <v>0</v>
      </c>
      <c r="AD82" s="282">
        <f>IF(E82="Whole Building",VLOOKUP(AC82,'Points Table'!$B$13:$C$36,2,TRUE),IF(OR(E82="Base Building", E82="Shopping Centre"),VLOOKUP(AC82,'Points Table'!$E$13:$F$33,2,TRUE),0))</f>
        <v>0</v>
      </c>
    </row>
    <row r="83" spans="2:30">
      <c r="B83" s="294"/>
      <c r="C83" s="294"/>
      <c r="D83" s="294"/>
      <c r="E83" s="294"/>
      <c r="F83" s="293"/>
      <c r="G83" s="293"/>
      <c r="H83" s="293"/>
      <c r="I83" s="293"/>
      <c r="J83" s="278"/>
      <c r="K83" s="278"/>
      <c r="L83" s="265" t="str">
        <f t="shared" si="3"/>
        <v/>
      </c>
      <c r="M83" s="279"/>
      <c r="N83" s="278"/>
      <c r="O83" s="278"/>
      <c r="P83" s="278"/>
      <c r="Q83" s="278"/>
      <c r="R83" s="278"/>
      <c r="S83" s="278"/>
      <c r="T83" s="278"/>
      <c r="U83" s="278"/>
      <c r="V83" s="278"/>
      <c r="W83" s="278"/>
      <c r="X83" s="278"/>
      <c r="Y83" s="278"/>
      <c r="Z83" s="278"/>
      <c r="AA83" s="280"/>
      <c r="AB83" s="281" t="str">
        <f>IF(Table14[[#This Row],[NABERS Energy Rating 
(Stars)]]&gt;=4, "YES", "NO")</f>
        <v>NO</v>
      </c>
      <c r="AC83" s="290">
        <f t="shared" si="4"/>
        <v>0</v>
      </c>
      <c r="AD83" s="282">
        <f>IF(E83="Whole Building",VLOOKUP(AC83,'Points Table'!$B$13:$C$36,2,TRUE),IF(OR(E83="Base Building", E83="Shopping Centre"),VLOOKUP(AC83,'Points Table'!$E$13:$F$33,2,TRUE),0))</f>
        <v>0</v>
      </c>
    </row>
    <row r="84" spans="2:30">
      <c r="B84" s="294"/>
      <c r="C84" s="294"/>
      <c r="D84" s="294"/>
      <c r="E84" s="294"/>
      <c r="F84" s="293"/>
      <c r="G84" s="293"/>
      <c r="H84" s="293"/>
      <c r="I84" s="293"/>
      <c r="J84" s="278"/>
      <c r="K84" s="278"/>
      <c r="L84" s="265" t="str">
        <f t="shared" si="3"/>
        <v/>
      </c>
      <c r="M84" s="279"/>
      <c r="N84" s="278"/>
      <c r="O84" s="278"/>
      <c r="P84" s="278"/>
      <c r="Q84" s="278"/>
      <c r="R84" s="278"/>
      <c r="S84" s="278"/>
      <c r="T84" s="278"/>
      <c r="U84" s="278"/>
      <c r="V84" s="278"/>
      <c r="W84" s="278"/>
      <c r="X84" s="278"/>
      <c r="Y84" s="278"/>
      <c r="Z84" s="278"/>
      <c r="AA84" s="280"/>
      <c r="AB84" s="281" t="str">
        <f>IF(Table14[[#This Row],[NABERS Energy Rating 
(Stars)]]&gt;=4, "YES", "NO")</f>
        <v>NO</v>
      </c>
      <c r="AC84" s="290">
        <f t="shared" si="4"/>
        <v>0</v>
      </c>
      <c r="AD84" s="282">
        <f>IF(E84="Whole Building",VLOOKUP(AC84,'Points Table'!$B$13:$C$36,2,TRUE),IF(OR(E84="Base Building", E84="Shopping Centre"),VLOOKUP(AC84,'Points Table'!$E$13:$F$33,2,TRUE),0))</f>
        <v>0</v>
      </c>
    </row>
    <row r="85" spans="2:30">
      <c r="B85" s="294"/>
      <c r="C85" s="294"/>
      <c r="D85" s="294"/>
      <c r="E85" s="294"/>
      <c r="F85" s="293"/>
      <c r="G85" s="293"/>
      <c r="H85" s="293"/>
      <c r="I85" s="293"/>
      <c r="J85" s="278"/>
      <c r="K85" s="279"/>
      <c r="L85" s="265" t="str">
        <f t="shared" si="3"/>
        <v/>
      </c>
      <c r="M85" s="279"/>
      <c r="N85" s="278"/>
      <c r="O85" s="278"/>
      <c r="P85" s="278"/>
      <c r="Q85" s="278"/>
      <c r="R85" s="278"/>
      <c r="S85" s="278"/>
      <c r="T85" s="278"/>
      <c r="U85" s="278"/>
      <c r="V85" s="278"/>
      <c r="W85" s="278"/>
      <c r="X85" s="278"/>
      <c r="Y85" s="278"/>
      <c r="Z85" s="278"/>
      <c r="AA85" s="280"/>
      <c r="AB85" s="281" t="str">
        <f>IF(Table14[[#This Row],[NABERS Energy Rating 
(Stars)]]&gt;=4, "YES", "NO")</f>
        <v>NO</v>
      </c>
      <c r="AC85" s="290">
        <f t="shared" si="4"/>
        <v>0</v>
      </c>
      <c r="AD85" s="282">
        <f>IF(E85="Whole Building",VLOOKUP(AC85,'Points Table'!$B$13:$C$36,2,TRUE),IF(OR(E85="Base Building", E85="Shopping Centre"),VLOOKUP(AC85,'Points Table'!$E$13:$F$33,2,TRUE),0))</f>
        <v>0</v>
      </c>
    </row>
    <row r="86" spans="2:30">
      <c r="B86" s="294"/>
      <c r="C86" s="294"/>
      <c r="D86" s="294"/>
      <c r="E86" s="294"/>
      <c r="F86" s="293"/>
      <c r="G86" s="293"/>
      <c r="H86" s="293"/>
      <c r="I86" s="293"/>
      <c r="J86" s="278"/>
      <c r="K86" s="278"/>
      <c r="L86" s="265" t="str">
        <f t="shared" si="3"/>
        <v/>
      </c>
      <c r="M86" s="279"/>
      <c r="N86" s="278"/>
      <c r="O86" s="278"/>
      <c r="P86" s="278"/>
      <c r="Q86" s="278"/>
      <c r="R86" s="278"/>
      <c r="S86" s="278"/>
      <c r="T86" s="278"/>
      <c r="U86" s="278"/>
      <c r="V86" s="278"/>
      <c r="W86" s="278"/>
      <c r="X86" s="278"/>
      <c r="Y86" s="278"/>
      <c r="Z86" s="278"/>
      <c r="AA86" s="280"/>
      <c r="AB86" s="281" t="str">
        <f>IF(Table14[[#This Row],[NABERS Energy Rating 
(Stars)]]&gt;=4, "YES", "NO")</f>
        <v>NO</v>
      </c>
      <c r="AC86" s="290">
        <f t="shared" si="4"/>
        <v>0</v>
      </c>
      <c r="AD86" s="282">
        <f>IF(E86="Whole Building",VLOOKUP(AC86,'Points Table'!$B$13:$C$36,2,TRUE),IF(OR(E86="Base Building", E86="Shopping Centre"),VLOOKUP(AC86,'Points Table'!$E$13:$F$33,2,TRUE),0))</f>
        <v>0</v>
      </c>
    </row>
    <row r="87" spans="2:30">
      <c r="B87" s="294"/>
      <c r="C87" s="294"/>
      <c r="D87" s="294"/>
      <c r="E87" s="294"/>
      <c r="F87" s="293"/>
      <c r="G87" s="293"/>
      <c r="H87" s="293"/>
      <c r="I87" s="293"/>
      <c r="J87" s="278"/>
      <c r="K87" s="278"/>
      <c r="L87" s="265" t="str">
        <f t="shared" si="3"/>
        <v/>
      </c>
      <c r="M87" s="279"/>
      <c r="N87" s="278"/>
      <c r="O87" s="278"/>
      <c r="P87" s="278"/>
      <c r="Q87" s="278"/>
      <c r="R87" s="278"/>
      <c r="S87" s="278"/>
      <c r="T87" s="278"/>
      <c r="U87" s="278"/>
      <c r="V87" s="278"/>
      <c r="W87" s="278"/>
      <c r="X87" s="278"/>
      <c r="Y87" s="278"/>
      <c r="Z87" s="278"/>
      <c r="AA87" s="280"/>
      <c r="AB87" s="281" t="str">
        <f>IF(Table14[[#This Row],[NABERS Energy Rating 
(Stars)]]&gt;=4, "YES", "NO")</f>
        <v>NO</v>
      </c>
      <c r="AC87" s="290">
        <f t="shared" si="4"/>
        <v>0</v>
      </c>
      <c r="AD87" s="282">
        <f>IF(E87="Whole Building",VLOOKUP(AC87,'Points Table'!$B$13:$C$36,2,TRUE),IF(OR(E87="Base Building", E87="Shopping Centre"),VLOOKUP(AC87,'Points Table'!$E$13:$F$33,2,TRUE),0))</f>
        <v>0</v>
      </c>
    </row>
    <row r="88" spans="2:30">
      <c r="B88" s="294"/>
      <c r="C88" s="294"/>
      <c r="D88" s="294"/>
      <c r="E88" s="294"/>
      <c r="F88" s="293"/>
      <c r="G88" s="293"/>
      <c r="H88" s="293"/>
      <c r="I88" s="293"/>
      <c r="J88" s="278"/>
      <c r="K88" s="278"/>
      <c r="L88" s="265" t="str">
        <f t="shared" si="3"/>
        <v/>
      </c>
      <c r="M88" s="279"/>
      <c r="N88" s="278"/>
      <c r="O88" s="278"/>
      <c r="P88" s="278"/>
      <c r="Q88" s="278"/>
      <c r="R88" s="278"/>
      <c r="S88" s="278"/>
      <c r="T88" s="278"/>
      <c r="U88" s="278"/>
      <c r="V88" s="278"/>
      <c r="W88" s="278"/>
      <c r="X88" s="278"/>
      <c r="Y88" s="278"/>
      <c r="Z88" s="278"/>
      <c r="AA88" s="280"/>
      <c r="AB88" s="281" t="str">
        <f>IF(Table14[[#This Row],[NABERS Energy Rating 
(Stars)]]&gt;=4, "YES", "NO")</f>
        <v>NO</v>
      </c>
      <c r="AC88" s="290">
        <f t="shared" si="4"/>
        <v>0</v>
      </c>
      <c r="AD88" s="282">
        <f>IF(E88="Whole Building",VLOOKUP(AC88,'Points Table'!$B$13:$C$36,2,TRUE),IF(OR(E88="Base Building", E88="Shopping Centre"),VLOOKUP(AC88,'Points Table'!$E$13:$F$33,2,TRUE),0))</f>
        <v>0</v>
      </c>
    </row>
    <row r="89" spans="2:30">
      <c r="B89" s="294"/>
      <c r="C89" s="294"/>
      <c r="D89" s="294"/>
      <c r="E89" s="294"/>
      <c r="F89" s="293"/>
      <c r="G89" s="293"/>
      <c r="H89" s="293"/>
      <c r="I89" s="293"/>
      <c r="J89" s="278"/>
      <c r="K89" s="278"/>
      <c r="L89" s="265" t="str">
        <f t="shared" si="3"/>
        <v/>
      </c>
      <c r="M89" s="279"/>
      <c r="N89" s="278"/>
      <c r="O89" s="278"/>
      <c r="P89" s="278"/>
      <c r="Q89" s="278"/>
      <c r="R89" s="278"/>
      <c r="S89" s="278"/>
      <c r="T89" s="278"/>
      <c r="U89" s="278"/>
      <c r="V89" s="278"/>
      <c r="W89" s="278"/>
      <c r="X89" s="278"/>
      <c r="Y89" s="278"/>
      <c r="Z89" s="278"/>
      <c r="AA89" s="280"/>
      <c r="AB89" s="281" t="str">
        <f>IF(Table14[[#This Row],[NABERS Energy Rating 
(Stars)]]&gt;=4, "YES", "NO")</f>
        <v>NO</v>
      </c>
      <c r="AC89" s="290">
        <f t="shared" si="4"/>
        <v>0</v>
      </c>
      <c r="AD89" s="282">
        <f>IF(E89="Whole Building",VLOOKUP(AC89,'Points Table'!$B$13:$C$36,2,TRUE),IF(OR(E89="Base Building", E89="Shopping Centre"),VLOOKUP(AC89,'Points Table'!$E$13:$F$33,2,TRUE),0))</f>
        <v>0</v>
      </c>
    </row>
    <row r="90" spans="2:30">
      <c r="B90" s="294"/>
      <c r="C90" s="294"/>
      <c r="D90" s="294"/>
      <c r="E90" s="294"/>
      <c r="F90" s="293"/>
      <c r="G90" s="293"/>
      <c r="H90" s="293"/>
      <c r="I90" s="293"/>
      <c r="J90" s="278"/>
      <c r="K90" s="278"/>
      <c r="L90" s="265" t="str">
        <f t="shared" si="3"/>
        <v/>
      </c>
      <c r="M90" s="279"/>
      <c r="N90" s="278"/>
      <c r="O90" s="278"/>
      <c r="P90" s="278"/>
      <c r="Q90" s="278"/>
      <c r="R90" s="278"/>
      <c r="S90" s="278"/>
      <c r="T90" s="278"/>
      <c r="U90" s="278"/>
      <c r="V90" s="278"/>
      <c r="W90" s="278"/>
      <c r="X90" s="278"/>
      <c r="Y90" s="278"/>
      <c r="Z90" s="278"/>
      <c r="AA90" s="280"/>
      <c r="AB90" s="281" t="str">
        <f>IF(Table14[[#This Row],[NABERS Energy Rating 
(Stars)]]&gt;=4, "YES", "NO")</f>
        <v>NO</v>
      </c>
      <c r="AC90" s="290">
        <f t="shared" si="4"/>
        <v>0</v>
      </c>
      <c r="AD90" s="282">
        <f>IF(E90="Whole Building",VLOOKUP(AC90,'Points Table'!$B$13:$C$36,2,TRUE),IF(OR(E90="Base Building", E90="Shopping Centre"),VLOOKUP(AC90,'Points Table'!$E$13:$F$33,2,TRUE),0))</f>
        <v>0</v>
      </c>
    </row>
    <row r="91" spans="2:30">
      <c r="B91" s="294"/>
      <c r="C91" s="294"/>
      <c r="D91" s="294"/>
      <c r="E91" s="294"/>
      <c r="F91" s="293"/>
      <c r="G91" s="293"/>
      <c r="H91" s="293"/>
      <c r="I91" s="293"/>
      <c r="J91" s="278"/>
      <c r="K91" s="278"/>
      <c r="L91" s="265" t="str">
        <f t="shared" si="3"/>
        <v/>
      </c>
      <c r="M91" s="279"/>
      <c r="N91" s="278"/>
      <c r="O91" s="278"/>
      <c r="P91" s="278"/>
      <c r="Q91" s="278"/>
      <c r="R91" s="278"/>
      <c r="S91" s="278"/>
      <c r="T91" s="278"/>
      <c r="U91" s="278"/>
      <c r="V91" s="278"/>
      <c r="W91" s="278"/>
      <c r="X91" s="278"/>
      <c r="Y91" s="278"/>
      <c r="Z91" s="278"/>
      <c r="AA91" s="280"/>
      <c r="AB91" s="281" t="str">
        <f>IF(Table14[[#This Row],[NABERS Energy Rating 
(Stars)]]&gt;=4, "YES", "NO")</f>
        <v>NO</v>
      </c>
      <c r="AC91" s="290">
        <f t="shared" si="4"/>
        <v>0</v>
      </c>
      <c r="AD91" s="282">
        <f>IF(E91="Whole Building",VLOOKUP(AC91,'Points Table'!$B$13:$C$36,2,TRUE),IF(OR(E91="Base Building", E91="Shopping Centre"),VLOOKUP(AC91,'Points Table'!$E$13:$F$33,2,TRUE),0))</f>
        <v>0</v>
      </c>
    </row>
    <row r="92" spans="2:30">
      <c r="B92" s="294"/>
      <c r="C92" s="294"/>
      <c r="D92" s="294"/>
      <c r="E92" s="294"/>
      <c r="F92" s="293"/>
      <c r="G92" s="293"/>
      <c r="H92" s="293"/>
      <c r="I92" s="293"/>
      <c r="J92" s="278"/>
      <c r="K92" s="278"/>
      <c r="L92" s="265" t="str">
        <f t="shared" si="3"/>
        <v/>
      </c>
      <c r="M92" s="279"/>
      <c r="N92" s="278"/>
      <c r="O92" s="278"/>
      <c r="P92" s="278"/>
      <c r="Q92" s="278"/>
      <c r="R92" s="278"/>
      <c r="S92" s="278"/>
      <c r="T92" s="278"/>
      <c r="U92" s="278"/>
      <c r="V92" s="278"/>
      <c r="W92" s="278"/>
      <c r="X92" s="278"/>
      <c r="Y92" s="278"/>
      <c r="Z92" s="278"/>
      <c r="AA92" s="280"/>
      <c r="AB92" s="281" t="str">
        <f>IF(Table14[[#This Row],[NABERS Energy Rating 
(Stars)]]&gt;=4, "YES", "NO")</f>
        <v>NO</v>
      </c>
      <c r="AC92" s="290">
        <f t="shared" si="4"/>
        <v>0</v>
      </c>
      <c r="AD92" s="282">
        <f>IF(E92="Whole Building",VLOOKUP(AC92,'Points Table'!$B$13:$C$36,2,TRUE),IF(OR(E92="Base Building", E92="Shopping Centre"),VLOOKUP(AC92,'Points Table'!$E$13:$F$33,2,TRUE),0))</f>
        <v>0</v>
      </c>
    </row>
    <row r="93" spans="2:30">
      <c r="B93" s="294"/>
      <c r="C93" s="294"/>
      <c r="D93" s="294"/>
      <c r="E93" s="294"/>
      <c r="F93" s="293"/>
      <c r="G93" s="293"/>
      <c r="H93" s="293"/>
      <c r="I93" s="293"/>
      <c r="J93" s="278"/>
      <c r="K93" s="279"/>
      <c r="L93" s="265" t="str">
        <f t="shared" si="3"/>
        <v/>
      </c>
      <c r="M93" s="279"/>
      <c r="N93" s="278"/>
      <c r="O93" s="278"/>
      <c r="P93" s="278"/>
      <c r="Q93" s="278"/>
      <c r="R93" s="278"/>
      <c r="S93" s="278"/>
      <c r="T93" s="278"/>
      <c r="U93" s="278"/>
      <c r="V93" s="278"/>
      <c r="W93" s="278"/>
      <c r="X93" s="278"/>
      <c r="Y93" s="278"/>
      <c r="Z93" s="278"/>
      <c r="AA93" s="280"/>
      <c r="AB93" s="281" t="str">
        <f>IF(Table14[[#This Row],[NABERS Energy Rating 
(Stars)]]&gt;=4, "YES", "NO")</f>
        <v>NO</v>
      </c>
      <c r="AC93" s="290">
        <f t="shared" si="4"/>
        <v>0</v>
      </c>
      <c r="AD93" s="282">
        <f>IF(E93="Whole Building",VLOOKUP(AC93,'Points Table'!$B$13:$C$36,2,TRUE),IF(OR(E93="Base Building", E93="Shopping Centre"),VLOOKUP(AC93,'Points Table'!$E$13:$F$33,2,TRUE),0))</f>
        <v>0</v>
      </c>
    </row>
    <row r="94" spans="2:30">
      <c r="B94" s="294"/>
      <c r="C94" s="294"/>
      <c r="D94" s="294"/>
      <c r="E94" s="294"/>
      <c r="F94" s="293"/>
      <c r="G94" s="293"/>
      <c r="H94" s="293"/>
      <c r="I94" s="293"/>
      <c r="J94" s="278"/>
      <c r="K94" s="278"/>
      <c r="L94" s="265" t="str">
        <f t="shared" si="3"/>
        <v/>
      </c>
      <c r="M94" s="279"/>
      <c r="N94" s="278"/>
      <c r="O94" s="278"/>
      <c r="P94" s="278"/>
      <c r="Q94" s="278"/>
      <c r="R94" s="278"/>
      <c r="S94" s="278"/>
      <c r="T94" s="278"/>
      <c r="U94" s="278"/>
      <c r="V94" s="278"/>
      <c r="W94" s="278"/>
      <c r="X94" s="278"/>
      <c r="Y94" s="278"/>
      <c r="Z94" s="278"/>
      <c r="AA94" s="280"/>
      <c r="AB94" s="281" t="str">
        <f>IF(Table14[[#This Row],[NABERS Energy Rating 
(Stars)]]&gt;=4, "YES", "NO")</f>
        <v>NO</v>
      </c>
      <c r="AC94" s="290">
        <f t="shared" si="4"/>
        <v>0</v>
      </c>
      <c r="AD94" s="282">
        <f>IF(E94="Whole Building",VLOOKUP(AC94,'Points Table'!$B$13:$C$36,2,TRUE),IF(OR(E94="Base Building", E94="Shopping Centre"),VLOOKUP(AC94,'Points Table'!$E$13:$F$33,2,TRUE),0))</f>
        <v>0</v>
      </c>
    </row>
    <row r="95" spans="2:30">
      <c r="B95" s="294"/>
      <c r="C95" s="294"/>
      <c r="D95" s="294"/>
      <c r="E95" s="294"/>
      <c r="F95" s="293"/>
      <c r="G95" s="293"/>
      <c r="H95" s="293"/>
      <c r="I95" s="293"/>
      <c r="J95" s="278"/>
      <c r="K95" s="278"/>
      <c r="L95" s="265" t="str">
        <f t="shared" si="3"/>
        <v/>
      </c>
      <c r="M95" s="279"/>
      <c r="N95" s="278"/>
      <c r="O95" s="278"/>
      <c r="P95" s="278"/>
      <c r="Q95" s="278"/>
      <c r="R95" s="278"/>
      <c r="S95" s="278"/>
      <c r="T95" s="278"/>
      <c r="U95" s="278"/>
      <c r="V95" s="278"/>
      <c r="W95" s="278"/>
      <c r="X95" s="278"/>
      <c r="Y95" s="278"/>
      <c r="Z95" s="278"/>
      <c r="AA95" s="280"/>
      <c r="AB95" s="281" t="str">
        <f>IF(Table14[[#This Row],[NABERS Energy Rating 
(Stars)]]&gt;=4, "YES", "NO")</f>
        <v>NO</v>
      </c>
      <c r="AC95" s="290">
        <f t="shared" si="4"/>
        <v>0</v>
      </c>
      <c r="AD95" s="282">
        <f>IF(E95="Whole Building",VLOOKUP(AC95,'Points Table'!$B$13:$C$36,2,TRUE),IF(OR(E95="Base Building", E95="Shopping Centre"),VLOOKUP(AC95,'Points Table'!$E$13:$F$33,2,TRUE),0))</f>
        <v>0</v>
      </c>
    </row>
    <row r="96" spans="2:30">
      <c r="B96" s="294"/>
      <c r="C96" s="294"/>
      <c r="D96" s="294"/>
      <c r="E96" s="294"/>
      <c r="F96" s="293"/>
      <c r="G96" s="293"/>
      <c r="H96" s="293"/>
      <c r="I96" s="293"/>
      <c r="J96" s="278"/>
      <c r="K96" s="278"/>
      <c r="L96" s="265" t="str">
        <f t="shared" si="3"/>
        <v/>
      </c>
      <c r="M96" s="279"/>
      <c r="N96" s="278"/>
      <c r="O96" s="278"/>
      <c r="P96" s="278"/>
      <c r="Q96" s="278"/>
      <c r="R96" s="278"/>
      <c r="S96" s="278"/>
      <c r="T96" s="278"/>
      <c r="U96" s="278"/>
      <c r="V96" s="278"/>
      <c r="W96" s="278"/>
      <c r="X96" s="278"/>
      <c r="Y96" s="278"/>
      <c r="Z96" s="278"/>
      <c r="AA96" s="280"/>
      <c r="AB96" s="281" t="str">
        <f>IF(Table14[[#This Row],[NABERS Energy Rating 
(Stars)]]&gt;=4, "YES", "NO")</f>
        <v>NO</v>
      </c>
      <c r="AC96" s="290">
        <f t="shared" si="4"/>
        <v>0</v>
      </c>
      <c r="AD96" s="282">
        <f>IF(E96="Whole Building",VLOOKUP(AC96,'Points Table'!$B$13:$C$36,2,TRUE),IF(OR(E96="Base Building", E96="Shopping Centre"),VLOOKUP(AC96,'Points Table'!$E$13:$F$33,2,TRUE),0))</f>
        <v>0</v>
      </c>
    </row>
    <row r="97" spans="2:30">
      <c r="B97" s="294"/>
      <c r="C97" s="294"/>
      <c r="D97" s="294"/>
      <c r="E97" s="294"/>
      <c r="F97" s="293"/>
      <c r="G97" s="293"/>
      <c r="H97" s="293"/>
      <c r="I97" s="293"/>
      <c r="J97" s="278"/>
      <c r="K97" s="278"/>
      <c r="L97" s="265" t="str">
        <f t="shared" si="3"/>
        <v/>
      </c>
      <c r="M97" s="279"/>
      <c r="N97" s="278"/>
      <c r="O97" s="278"/>
      <c r="P97" s="278"/>
      <c r="Q97" s="278"/>
      <c r="R97" s="278"/>
      <c r="S97" s="278"/>
      <c r="T97" s="278"/>
      <c r="U97" s="278"/>
      <c r="V97" s="278"/>
      <c r="W97" s="278"/>
      <c r="X97" s="278"/>
      <c r="Y97" s="278"/>
      <c r="Z97" s="278"/>
      <c r="AA97" s="280"/>
      <c r="AB97" s="281" t="str">
        <f>IF(Table14[[#This Row],[NABERS Energy Rating 
(Stars)]]&gt;=4, "YES", "NO")</f>
        <v>NO</v>
      </c>
      <c r="AC97" s="290">
        <f t="shared" si="4"/>
        <v>0</v>
      </c>
      <c r="AD97" s="282">
        <f>IF(E97="Whole Building",VLOOKUP(AC97,'Points Table'!$B$13:$C$36,2,TRUE),IF(OR(E97="Base Building", E97="Shopping Centre"),VLOOKUP(AC97,'Points Table'!$E$13:$F$33,2,TRUE),0))</f>
        <v>0</v>
      </c>
    </row>
    <row r="98" spans="2:30">
      <c r="B98" s="294"/>
      <c r="C98" s="294"/>
      <c r="D98" s="294"/>
      <c r="E98" s="294"/>
      <c r="F98" s="293"/>
      <c r="G98" s="293"/>
      <c r="H98" s="293"/>
      <c r="I98" s="293"/>
      <c r="J98" s="278"/>
      <c r="K98" s="278"/>
      <c r="L98" s="265" t="str">
        <f t="shared" si="3"/>
        <v/>
      </c>
      <c r="M98" s="279"/>
      <c r="N98" s="278"/>
      <c r="O98" s="278"/>
      <c r="P98" s="278"/>
      <c r="Q98" s="278"/>
      <c r="R98" s="278"/>
      <c r="S98" s="278"/>
      <c r="T98" s="278"/>
      <c r="U98" s="278"/>
      <c r="V98" s="278"/>
      <c r="W98" s="278"/>
      <c r="X98" s="278"/>
      <c r="Y98" s="278"/>
      <c r="Z98" s="278"/>
      <c r="AA98" s="280"/>
      <c r="AB98" s="281" t="str">
        <f>IF(Table14[[#This Row],[NABERS Energy Rating 
(Stars)]]&gt;=4, "YES", "NO")</f>
        <v>NO</v>
      </c>
      <c r="AC98" s="290">
        <f t="shared" si="4"/>
        <v>0</v>
      </c>
      <c r="AD98" s="282">
        <f>IF(E98="Whole Building",VLOOKUP(AC98,'Points Table'!$B$13:$C$36,2,TRUE),IF(OR(E98="Base Building", E98="Shopping Centre"),VLOOKUP(AC98,'Points Table'!$E$13:$F$33,2,TRUE),0))</f>
        <v>0</v>
      </c>
    </row>
    <row r="99" spans="2:30">
      <c r="B99" s="294"/>
      <c r="C99" s="294"/>
      <c r="D99" s="294"/>
      <c r="E99" s="294"/>
      <c r="F99" s="293"/>
      <c r="G99" s="293"/>
      <c r="H99" s="293"/>
      <c r="I99" s="293"/>
      <c r="J99" s="278"/>
      <c r="K99" s="278"/>
      <c r="L99" s="265" t="str">
        <f t="shared" si="3"/>
        <v/>
      </c>
      <c r="M99" s="279"/>
      <c r="N99" s="278"/>
      <c r="O99" s="278"/>
      <c r="P99" s="278"/>
      <c r="Q99" s="278"/>
      <c r="R99" s="278"/>
      <c r="S99" s="278"/>
      <c r="T99" s="278"/>
      <c r="U99" s="278"/>
      <c r="V99" s="278"/>
      <c r="W99" s="278"/>
      <c r="X99" s="278"/>
      <c r="Y99" s="278"/>
      <c r="Z99" s="278"/>
      <c r="AA99" s="280"/>
      <c r="AB99" s="281" t="str">
        <f>IF(Table14[[#This Row],[NABERS Energy Rating 
(Stars)]]&gt;=4, "YES", "NO")</f>
        <v>NO</v>
      </c>
      <c r="AC99" s="290">
        <f t="shared" si="4"/>
        <v>0</v>
      </c>
      <c r="AD99" s="282">
        <f>IF(E99="Whole Building",VLOOKUP(AC99,'Points Table'!$B$13:$C$36,2,TRUE),IF(OR(E99="Base Building", E99="Shopping Centre"),VLOOKUP(AC99,'Points Table'!$E$13:$F$33,2,TRUE),0))</f>
        <v>0</v>
      </c>
    </row>
    <row r="100" spans="2:30">
      <c r="B100" s="294"/>
      <c r="C100" s="294"/>
      <c r="D100" s="294"/>
      <c r="E100" s="294"/>
      <c r="F100" s="293"/>
      <c r="G100" s="293"/>
      <c r="H100" s="293"/>
      <c r="I100" s="293"/>
      <c r="J100" s="278"/>
      <c r="K100" s="278"/>
      <c r="L100" s="265" t="str">
        <f t="shared" si="3"/>
        <v/>
      </c>
      <c r="M100" s="279"/>
      <c r="N100" s="278"/>
      <c r="O100" s="278"/>
      <c r="P100" s="278"/>
      <c r="Q100" s="278"/>
      <c r="R100" s="278"/>
      <c r="S100" s="278"/>
      <c r="T100" s="278"/>
      <c r="U100" s="278"/>
      <c r="V100" s="278"/>
      <c r="W100" s="278"/>
      <c r="X100" s="278"/>
      <c r="Y100" s="278"/>
      <c r="Z100" s="278"/>
      <c r="AA100" s="280"/>
      <c r="AB100" s="281" t="str">
        <f>IF(Table14[[#This Row],[NABERS Energy Rating 
(Stars)]]&gt;=4, "YES", "NO")</f>
        <v>NO</v>
      </c>
      <c r="AC100" s="290">
        <f t="shared" si="4"/>
        <v>0</v>
      </c>
      <c r="AD100" s="282">
        <f>IF(E100="Whole Building",VLOOKUP(AC100,'Points Table'!$B$13:$C$36,2,TRUE),IF(OR(E100="Base Building", E100="Shopping Centre"),VLOOKUP(AC100,'Points Table'!$E$13:$F$33,2,TRUE),0))</f>
        <v>0</v>
      </c>
    </row>
    <row r="101" spans="2:30">
      <c r="B101" s="294"/>
      <c r="C101" s="294"/>
      <c r="D101" s="294"/>
      <c r="E101" s="294"/>
      <c r="F101" s="293"/>
      <c r="G101" s="293"/>
      <c r="H101" s="293"/>
      <c r="I101" s="293"/>
      <c r="J101" s="278"/>
      <c r="K101" s="278"/>
      <c r="L101" s="265" t="str">
        <f t="shared" si="3"/>
        <v/>
      </c>
      <c r="M101" s="279"/>
      <c r="N101" s="278"/>
      <c r="O101" s="278"/>
      <c r="P101" s="278"/>
      <c r="Q101" s="278"/>
      <c r="R101" s="278"/>
      <c r="S101" s="278"/>
      <c r="T101" s="278"/>
      <c r="U101" s="278"/>
      <c r="V101" s="278"/>
      <c r="W101" s="278"/>
      <c r="X101" s="278"/>
      <c r="Y101" s="278"/>
      <c r="Z101" s="278"/>
      <c r="AA101" s="280"/>
      <c r="AB101" s="281" t="str">
        <f>IF(Table14[[#This Row],[NABERS Energy Rating 
(Stars)]]&gt;=4, "YES", "NO")</f>
        <v>NO</v>
      </c>
      <c r="AC101" s="290">
        <f t="shared" si="4"/>
        <v>0</v>
      </c>
      <c r="AD101" s="282">
        <f>IF(E101="Whole Building",VLOOKUP(AC101,'Points Table'!$B$13:$C$36,2,TRUE),IF(OR(E101="Base Building", E101="Shopping Centre"),VLOOKUP(AC101,'Points Table'!$E$13:$F$33,2,TRUE),0))</f>
        <v>0</v>
      </c>
    </row>
    <row r="102" spans="2:30">
      <c r="B102" s="294"/>
      <c r="C102" s="294"/>
      <c r="D102" s="294"/>
      <c r="E102" s="294"/>
      <c r="F102" s="293"/>
      <c r="G102" s="293"/>
      <c r="H102" s="293"/>
      <c r="I102" s="293"/>
      <c r="J102" s="278"/>
      <c r="K102" s="278"/>
      <c r="L102" s="265" t="str">
        <f t="shared" si="3"/>
        <v/>
      </c>
      <c r="M102" s="279"/>
      <c r="N102" s="278"/>
      <c r="O102" s="278"/>
      <c r="P102" s="278"/>
      <c r="Q102" s="278"/>
      <c r="R102" s="278"/>
      <c r="S102" s="278"/>
      <c r="T102" s="278"/>
      <c r="U102" s="278"/>
      <c r="V102" s="278"/>
      <c r="W102" s="278"/>
      <c r="X102" s="278"/>
      <c r="Y102" s="278"/>
      <c r="Z102" s="278"/>
      <c r="AA102" s="280"/>
      <c r="AB102" s="281" t="str">
        <f>IF(Table14[[#This Row],[NABERS Energy Rating 
(Stars)]]&gt;=4, "YES", "NO")</f>
        <v>NO</v>
      </c>
      <c r="AC102" s="290">
        <f t="shared" si="4"/>
        <v>0</v>
      </c>
      <c r="AD102" s="282">
        <f>IF(E102="Whole Building",VLOOKUP(AC102,'Points Table'!$B$13:$C$36,2,TRUE),IF(OR(E102="Base Building", E102="Shopping Centre"),VLOOKUP(AC102,'Points Table'!$E$13:$F$33,2,TRUE),0))</f>
        <v>0</v>
      </c>
    </row>
    <row r="103" spans="2:30">
      <c r="B103" s="294"/>
      <c r="C103" s="294"/>
      <c r="D103" s="294"/>
      <c r="E103" s="294"/>
      <c r="F103" s="293"/>
      <c r="G103" s="293"/>
      <c r="H103" s="293"/>
      <c r="I103" s="293"/>
      <c r="J103" s="278"/>
      <c r="K103" s="278"/>
      <c r="L103" s="265" t="str">
        <f t="shared" si="3"/>
        <v/>
      </c>
      <c r="M103" s="279"/>
      <c r="N103" s="278"/>
      <c r="O103" s="278"/>
      <c r="P103" s="278"/>
      <c r="Q103" s="278"/>
      <c r="R103" s="278"/>
      <c r="S103" s="278"/>
      <c r="T103" s="278"/>
      <c r="U103" s="278"/>
      <c r="V103" s="278"/>
      <c r="W103" s="278"/>
      <c r="X103" s="278"/>
      <c r="Y103" s="278"/>
      <c r="Z103" s="278"/>
      <c r="AA103" s="280"/>
      <c r="AB103" s="281" t="str">
        <f>IF(Table14[[#This Row],[NABERS Energy Rating 
(Stars)]]&gt;=4, "YES", "NO")</f>
        <v>NO</v>
      </c>
      <c r="AC103" s="290">
        <f t="shared" si="4"/>
        <v>0</v>
      </c>
      <c r="AD103" s="282">
        <f>IF(E103="Whole Building",VLOOKUP(AC103,'Points Table'!$B$13:$C$36,2,TRUE),IF(OR(E103="Base Building", E103="Shopping Centre"),VLOOKUP(AC103,'Points Table'!$E$13:$F$33,2,TRUE),0))</f>
        <v>0</v>
      </c>
    </row>
    <row r="104" spans="2:30">
      <c r="B104" s="294"/>
      <c r="C104" s="294"/>
      <c r="D104" s="294"/>
      <c r="E104" s="294"/>
      <c r="F104" s="293"/>
      <c r="G104" s="293"/>
      <c r="H104" s="293"/>
      <c r="I104" s="293"/>
      <c r="J104" s="278"/>
      <c r="K104" s="278"/>
      <c r="L104" s="265" t="str">
        <f t="shared" si="3"/>
        <v/>
      </c>
      <c r="M104" s="279"/>
      <c r="N104" s="278"/>
      <c r="O104" s="278"/>
      <c r="P104" s="278"/>
      <c r="Q104" s="278"/>
      <c r="R104" s="278"/>
      <c r="S104" s="278"/>
      <c r="T104" s="278"/>
      <c r="U104" s="278"/>
      <c r="V104" s="278"/>
      <c r="W104" s="278"/>
      <c r="X104" s="278"/>
      <c r="Y104" s="278"/>
      <c r="Z104" s="278"/>
      <c r="AA104" s="280"/>
      <c r="AB104" s="281" t="str">
        <f>IF(Table14[[#This Row],[NABERS Energy Rating 
(Stars)]]&gt;=4, "YES", "NO")</f>
        <v>NO</v>
      </c>
      <c r="AC104" s="290">
        <f t="shared" si="4"/>
        <v>0</v>
      </c>
      <c r="AD104" s="282">
        <f>IF(E104="Whole Building",VLOOKUP(AC104,'Points Table'!$B$13:$C$36,2,TRUE),IF(OR(E104="Base Building", E104="Shopping Centre"),VLOOKUP(AC104,'Points Table'!$E$13:$F$33,2,TRUE),0))</f>
        <v>0</v>
      </c>
    </row>
    <row r="105" spans="2:30">
      <c r="B105" s="294"/>
      <c r="C105" s="294"/>
      <c r="D105" s="294"/>
      <c r="E105" s="294"/>
      <c r="F105" s="293"/>
      <c r="G105" s="293"/>
      <c r="H105" s="293"/>
      <c r="I105" s="293"/>
      <c r="J105" s="278"/>
      <c r="K105" s="278"/>
      <c r="L105" s="265" t="str">
        <f t="shared" si="3"/>
        <v/>
      </c>
      <c r="M105" s="279"/>
      <c r="N105" s="278"/>
      <c r="O105" s="278"/>
      <c r="P105" s="278"/>
      <c r="Q105" s="278"/>
      <c r="R105" s="278"/>
      <c r="S105" s="278"/>
      <c r="T105" s="278"/>
      <c r="U105" s="278"/>
      <c r="V105" s="278"/>
      <c r="W105" s="278"/>
      <c r="X105" s="278"/>
      <c r="Y105" s="278"/>
      <c r="Z105" s="278"/>
      <c r="AA105" s="280"/>
      <c r="AB105" s="281" t="str">
        <f>IF(Table14[[#This Row],[NABERS Energy Rating 
(Stars)]]&gt;=4, "YES", "NO")</f>
        <v>NO</v>
      </c>
      <c r="AC105" s="290">
        <f t="shared" si="4"/>
        <v>0</v>
      </c>
      <c r="AD105" s="282">
        <f>IF(E105="Whole Building",VLOOKUP(AC105,'Points Table'!$B$13:$C$36,2,TRUE),IF(OR(E105="Base Building", E105="Shopping Centre"),VLOOKUP(AC105,'Points Table'!$E$13:$F$33,2,TRUE),0))</f>
        <v>0</v>
      </c>
    </row>
    <row r="106" spans="2:30">
      <c r="B106" s="294"/>
      <c r="C106" s="294"/>
      <c r="D106" s="294"/>
      <c r="E106" s="294"/>
      <c r="F106" s="293"/>
      <c r="G106" s="293"/>
      <c r="H106" s="293"/>
      <c r="I106" s="293"/>
      <c r="J106" s="278"/>
      <c r="K106" s="278"/>
      <c r="L106" s="265" t="str">
        <f t="shared" si="3"/>
        <v/>
      </c>
      <c r="M106" s="279"/>
      <c r="N106" s="278"/>
      <c r="O106" s="278"/>
      <c r="P106" s="278"/>
      <c r="Q106" s="278"/>
      <c r="R106" s="278"/>
      <c r="S106" s="278"/>
      <c r="T106" s="278"/>
      <c r="U106" s="278"/>
      <c r="V106" s="278"/>
      <c r="W106" s="278"/>
      <c r="X106" s="278"/>
      <c r="Y106" s="278"/>
      <c r="Z106" s="278"/>
      <c r="AA106" s="280"/>
      <c r="AB106" s="281" t="str">
        <f>IF(Table14[[#This Row],[NABERS Energy Rating 
(Stars)]]&gt;=4, "YES", "NO")</f>
        <v>NO</v>
      </c>
      <c r="AC106" s="290">
        <f t="shared" si="4"/>
        <v>0</v>
      </c>
      <c r="AD106" s="282">
        <f>IF(E106="Whole Building",VLOOKUP(AC106,'Points Table'!$B$13:$C$36,2,TRUE),IF(OR(E106="Base Building", E106="Shopping Centre"),VLOOKUP(AC106,'Points Table'!$E$13:$F$33,2,TRUE),0))</f>
        <v>0</v>
      </c>
    </row>
    <row r="107" spans="2:30">
      <c r="B107" s="294"/>
      <c r="C107" s="294"/>
      <c r="D107" s="294"/>
      <c r="E107" s="294"/>
      <c r="F107" s="293"/>
      <c r="G107" s="293"/>
      <c r="H107" s="293"/>
      <c r="I107" s="293"/>
      <c r="J107" s="278"/>
      <c r="K107" s="278"/>
      <c r="L107" s="265" t="str">
        <f t="shared" si="3"/>
        <v/>
      </c>
      <c r="M107" s="279"/>
      <c r="N107" s="278"/>
      <c r="O107" s="278"/>
      <c r="P107" s="278"/>
      <c r="Q107" s="278"/>
      <c r="R107" s="278"/>
      <c r="S107" s="278"/>
      <c r="T107" s="278"/>
      <c r="U107" s="278"/>
      <c r="V107" s="278"/>
      <c r="W107" s="278"/>
      <c r="X107" s="278"/>
      <c r="Y107" s="278"/>
      <c r="Z107" s="278"/>
      <c r="AA107" s="280"/>
      <c r="AB107" s="281" t="str">
        <f>IF(Table14[[#This Row],[NABERS Energy Rating 
(Stars)]]&gt;=4, "YES", "NO")</f>
        <v>NO</v>
      </c>
      <c r="AC107" s="290">
        <f t="shared" si="4"/>
        <v>0</v>
      </c>
      <c r="AD107" s="282">
        <f>IF(E107="Whole Building",VLOOKUP(AC107,'Points Table'!$B$13:$C$36,2,TRUE),IF(OR(E107="Base Building", E107="Shopping Centre"),VLOOKUP(AC107,'Points Table'!$E$13:$F$33,2,TRUE),0))</f>
        <v>0</v>
      </c>
    </row>
    <row r="108" spans="2:30">
      <c r="B108" s="294"/>
      <c r="C108" s="294"/>
      <c r="D108" s="294"/>
      <c r="E108" s="294"/>
      <c r="F108" s="293"/>
      <c r="G108" s="293"/>
      <c r="H108" s="293"/>
      <c r="I108" s="293"/>
      <c r="J108" s="278"/>
      <c r="K108" s="278"/>
      <c r="L108" s="265" t="str">
        <f t="shared" si="3"/>
        <v/>
      </c>
      <c r="M108" s="279"/>
      <c r="N108" s="278"/>
      <c r="O108" s="278"/>
      <c r="P108" s="278"/>
      <c r="Q108" s="278"/>
      <c r="R108" s="278"/>
      <c r="S108" s="278"/>
      <c r="T108" s="278"/>
      <c r="U108" s="278"/>
      <c r="V108" s="278"/>
      <c r="W108" s="278"/>
      <c r="X108" s="278"/>
      <c r="Y108" s="278"/>
      <c r="Z108" s="278"/>
      <c r="AA108" s="280"/>
      <c r="AB108" s="281" t="str">
        <f>IF(Table14[[#This Row],[NABERS Energy Rating 
(Stars)]]&gt;=4, "YES", "NO")</f>
        <v>NO</v>
      </c>
      <c r="AC108" s="290">
        <f t="shared" si="4"/>
        <v>0</v>
      </c>
      <c r="AD108" s="282">
        <f>IF(E108="Whole Building",VLOOKUP(AC108,'Points Table'!$B$13:$C$36,2,TRUE),IF(OR(E108="Base Building", E108="Shopping Centre"),VLOOKUP(AC108,'Points Table'!$E$13:$F$33,2,TRUE),0))</f>
        <v>0</v>
      </c>
    </row>
    <row r="109" spans="2:30">
      <c r="B109" s="294"/>
      <c r="C109" s="294"/>
      <c r="D109" s="294"/>
      <c r="E109" s="294"/>
      <c r="F109" s="293"/>
      <c r="G109" s="293"/>
      <c r="H109" s="293"/>
      <c r="I109" s="293"/>
      <c r="J109" s="278"/>
      <c r="K109" s="278"/>
      <c r="L109" s="265" t="str">
        <f t="shared" si="3"/>
        <v/>
      </c>
      <c r="M109" s="279"/>
      <c r="N109" s="278"/>
      <c r="O109" s="278"/>
      <c r="P109" s="278"/>
      <c r="Q109" s="278"/>
      <c r="R109" s="278"/>
      <c r="S109" s="278"/>
      <c r="T109" s="278"/>
      <c r="U109" s="278"/>
      <c r="V109" s="278"/>
      <c r="W109" s="278"/>
      <c r="X109" s="278"/>
      <c r="Y109" s="278"/>
      <c r="Z109" s="278"/>
      <c r="AA109" s="280"/>
      <c r="AB109" s="281" t="str">
        <f>IF(Table14[[#This Row],[NABERS Energy Rating 
(Stars)]]&gt;=4, "YES", "NO")</f>
        <v>NO</v>
      </c>
      <c r="AC109" s="290">
        <f t="shared" si="4"/>
        <v>0</v>
      </c>
      <c r="AD109" s="282">
        <f>IF(E109="Whole Building",VLOOKUP(AC109,'Points Table'!$B$13:$C$36,2,TRUE),IF(OR(E109="Base Building", E109="Shopping Centre"),VLOOKUP(AC109,'Points Table'!$E$13:$F$33,2,TRUE),0))</f>
        <v>0</v>
      </c>
    </row>
    <row r="110" spans="2:30">
      <c r="B110" s="294"/>
      <c r="C110" s="294"/>
      <c r="D110" s="294"/>
      <c r="E110" s="294"/>
      <c r="F110" s="293"/>
      <c r="G110" s="293"/>
      <c r="H110" s="293"/>
      <c r="I110" s="293"/>
      <c r="J110" s="278"/>
      <c r="K110" s="278"/>
      <c r="L110" s="265" t="str">
        <f t="shared" si="3"/>
        <v/>
      </c>
      <c r="M110" s="279"/>
      <c r="N110" s="278"/>
      <c r="O110" s="278"/>
      <c r="P110" s="278"/>
      <c r="Q110" s="278"/>
      <c r="R110" s="278"/>
      <c r="S110" s="278"/>
      <c r="T110" s="278"/>
      <c r="U110" s="278"/>
      <c r="V110" s="278"/>
      <c r="W110" s="278"/>
      <c r="X110" s="278"/>
      <c r="Y110" s="278"/>
      <c r="Z110" s="278"/>
      <c r="AA110" s="280"/>
      <c r="AB110" s="281" t="str">
        <f>IF(Table14[[#This Row],[NABERS Energy Rating 
(Stars)]]&gt;=4, "YES", "NO")</f>
        <v>NO</v>
      </c>
      <c r="AC110" s="290">
        <f t="shared" si="4"/>
        <v>0</v>
      </c>
      <c r="AD110" s="282">
        <f>IF(E110="Whole Building",VLOOKUP(AC110,'Points Table'!$B$13:$C$36,2,TRUE),IF(OR(E110="Base Building", E110="Shopping Centre"),VLOOKUP(AC110,'Points Table'!$E$13:$F$33,2,TRUE),0))</f>
        <v>0</v>
      </c>
    </row>
  </sheetData>
  <autoFilter ref="B8:E8" xr:uid="{01310396-8987-4E93-AC77-D98BAA57D4A7}">
    <filterColumn colId="0" showButton="0"/>
    <filterColumn colId="1" showButton="0"/>
    <filterColumn colId="2" showButton="0"/>
  </autoFilter>
  <mergeCells count="10">
    <mergeCell ref="N8:U8"/>
    <mergeCell ref="V8:Z8"/>
    <mergeCell ref="AB8:AD8"/>
    <mergeCell ref="F8:H8"/>
    <mergeCell ref="B6:H6"/>
    <mergeCell ref="B3:E3"/>
    <mergeCell ref="K3:L3"/>
    <mergeCell ref="B5:E5"/>
    <mergeCell ref="B8:E8"/>
    <mergeCell ref="I8:M8"/>
  </mergeCells>
  <phoneticPr fontId="105" type="noConversion"/>
  <pageMargins left="0.7" right="0.7" top="0.75" bottom="0.75" header="0.3" footer="0.3"/>
  <pageSetup paperSize="9"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CE6DAD0D-F07D-4A9A-9056-8F3ABC14ABD5}">
          <x14:formula1>
            <xm:f>'Points Table'!$B$46:$B$56</xm:f>
          </x14:formula1>
          <xm:sqref>V10:V110</xm:sqref>
        </x14:dataValidation>
        <x14:dataValidation type="list" allowBlank="1" showInputMessage="1" showErrorMessage="1" xr:uid="{37D760E6-A053-4A6E-AF87-E8B6BDFEA372}">
          <x14:formula1>
            <xm:f>'15A NABERS Energy Simple'!$N$6:$N$13</xm:f>
          </x14:formula1>
          <xm:sqref>D10:D110</xm:sqref>
        </x14:dataValidation>
        <x14:dataValidation type="list" allowBlank="1" showInputMessage="1" showErrorMessage="1" xr:uid="{843BE7FC-491F-4DBF-AAC8-6EE43F0A3320}">
          <x14:formula1>
            <xm:f>'15A NABERS Energy Simple'!$K$42:$K$45</xm:f>
          </x14:formula1>
          <xm:sqref>E10:E110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theme="0" tint="-0.14999847407452621"/>
    <pageSetUpPr fitToPage="1"/>
  </sheetPr>
  <dimension ref="B3:I187"/>
  <sheetViews>
    <sheetView showGridLines="0" topLeftCell="A184" workbookViewId="0">
      <selection activeCell="G7" sqref="G7"/>
    </sheetView>
  </sheetViews>
  <sheetFormatPr defaultColWidth="9.28515625" defaultRowHeight="13.15"/>
  <cols>
    <col min="1" max="1" width="5.7109375" style="6" customWidth="1"/>
    <col min="2" max="2" width="24.7109375" style="6" customWidth="1"/>
    <col min="3" max="3" width="23.7109375" style="6" customWidth="1"/>
    <col min="4" max="4" width="19.28515625" style="6" customWidth="1"/>
    <col min="5" max="5" width="22.7109375" style="6" customWidth="1"/>
    <col min="6" max="6" width="19.28515625" style="6" customWidth="1"/>
    <col min="7" max="7" width="25.7109375" style="6" customWidth="1"/>
    <col min="8" max="8" width="21.28515625" style="6" customWidth="1"/>
    <col min="9" max="9" width="27.7109375" style="6" customWidth="1"/>
    <col min="10" max="16384" width="9.28515625" style="6"/>
  </cols>
  <sheetData>
    <row r="3" spans="2:9" s="64" customFormat="1" ht="33.75" customHeight="1">
      <c r="B3" s="62" t="s">
        <v>1059</v>
      </c>
      <c r="C3" s="62"/>
      <c r="D3" s="62"/>
      <c r="E3" s="62"/>
      <c r="F3" s="62"/>
      <c r="G3" s="62"/>
      <c r="H3" s="62"/>
      <c r="I3" s="62"/>
    </row>
    <row r="6" spans="2:9">
      <c r="B6" s="7" t="s">
        <v>1060</v>
      </c>
      <c r="D6" s="8" t="s">
        <v>1061</v>
      </c>
      <c r="G6" s="8" t="s">
        <v>1062</v>
      </c>
    </row>
    <row r="7" spans="2:9" ht="22.5" customHeight="1">
      <c r="B7" s="9" t="s">
        <v>849</v>
      </c>
      <c r="C7" s="10"/>
      <c r="D7" s="9" t="s">
        <v>1063</v>
      </c>
      <c r="G7" s="9" t="s">
        <v>1064</v>
      </c>
      <c r="I7" s="71" t="s">
        <v>806</v>
      </c>
    </row>
    <row r="8" spans="2:9" ht="18" customHeight="1">
      <c r="B8" s="9" t="s">
        <v>844</v>
      </c>
      <c r="C8" s="10"/>
      <c r="D8" s="9" t="s">
        <v>1065</v>
      </c>
      <c r="G8" s="9" t="s">
        <v>1057</v>
      </c>
      <c r="I8" s="6" t="s">
        <v>1066</v>
      </c>
    </row>
    <row r="9" spans="2:9" ht="18" customHeight="1">
      <c r="G9" s="9" t="s">
        <v>764</v>
      </c>
      <c r="I9" s="6" t="s">
        <v>1067</v>
      </c>
    </row>
    <row r="10" spans="2:9" ht="18" customHeight="1">
      <c r="G10" s="9" t="s">
        <v>769</v>
      </c>
    </row>
    <row r="11" spans="2:9" ht="18" customHeight="1">
      <c r="G11" s="9"/>
    </row>
    <row r="12" spans="2:9">
      <c r="B12" s="8" t="s">
        <v>1062</v>
      </c>
      <c r="H12" s="72"/>
      <c r="I12" s="72"/>
    </row>
    <row r="13" spans="2:9">
      <c r="B13" s="61" t="s">
        <v>101</v>
      </c>
      <c r="C13" s="61" t="s">
        <v>1068</v>
      </c>
      <c r="D13" s="61" t="s">
        <v>1069</v>
      </c>
      <c r="E13" s="61" t="s">
        <v>1070</v>
      </c>
      <c r="G13" s="9"/>
      <c r="H13" s="72"/>
      <c r="I13" s="72"/>
    </row>
    <row r="14" spans="2:9">
      <c r="B14" s="11" t="s">
        <v>964</v>
      </c>
      <c r="C14" s="11" t="s">
        <v>1071</v>
      </c>
      <c r="D14" s="11" t="s">
        <v>130</v>
      </c>
      <c r="E14" s="20">
        <v>1E-3</v>
      </c>
    </row>
    <row r="15" spans="2:9">
      <c r="B15" s="11" t="s">
        <v>964</v>
      </c>
      <c r="C15" s="12" t="s">
        <v>130</v>
      </c>
      <c r="D15" s="11" t="s">
        <v>130</v>
      </c>
      <c r="E15" s="20">
        <v>1</v>
      </c>
    </row>
    <row r="16" spans="2:9">
      <c r="B16" s="11" t="s">
        <v>964</v>
      </c>
      <c r="C16" s="12" t="s">
        <v>1072</v>
      </c>
      <c r="D16" s="11" t="s">
        <v>130</v>
      </c>
      <c r="E16" s="20">
        <v>1000</v>
      </c>
    </row>
    <row r="17" spans="2:6">
      <c r="B17" s="11" t="s">
        <v>964</v>
      </c>
      <c r="C17" s="12" t="s">
        <v>1073</v>
      </c>
      <c r="D17" s="11" t="s">
        <v>130</v>
      </c>
      <c r="E17" s="20">
        <v>1000000</v>
      </c>
    </row>
    <row r="18" spans="2:6">
      <c r="B18" s="11" t="s">
        <v>964</v>
      </c>
      <c r="C18" s="12" t="s">
        <v>130</v>
      </c>
      <c r="D18" s="12" t="s">
        <v>827</v>
      </c>
      <c r="E18" s="20">
        <v>3.5999999999999999E-3</v>
      </c>
    </row>
    <row r="19" spans="2:6">
      <c r="B19" s="11" t="s">
        <v>965</v>
      </c>
      <c r="C19" s="11" t="s">
        <v>1074</v>
      </c>
      <c r="D19" s="12" t="s">
        <v>827</v>
      </c>
      <c r="E19" s="20">
        <v>1.0000000000000001E-9</v>
      </c>
    </row>
    <row r="20" spans="2:6">
      <c r="B20" s="11" t="s">
        <v>965</v>
      </c>
      <c r="C20" s="11" t="s">
        <v>1075</v>
      </c>
      <c r="D20" s="12" t="s">
        <v>827</v>
      </c>
      <c r="E20" s="20">
        <v>9.9999999999999995E-7</v>
      </c>
    </row>
    <row r="21" spans="2:6">
      <c r="B21" s="11" t="s">
        <v>965</v>
      </c>
      <c r="C21" s="11" t="s">
        <v>744</v>
      </c>
      <c r="D21" s="12" t="s">
        <v>827</v>
      </c>
      <c r="E21" s="20">
        <v>1E-3</v>
      </c>
    </row>
    <row r="22" spans="2:6">
      <c r="B22" s="11" t="s">
        <v>965</v>
      </c>
      <c r="C22" s="11" t="s">
        <v>827</v>
      </c>
      <c r="D22" s="12" t="s">
        <v>827</v>
      </c>
      <c r="E22" s="20">
        <v>1</v>
      </c>
      <c r="F22" s="13"/>
    </row>
    <row r="23" spans="2:6">
      <c r="B23" s="11" t="s">
        <v>965</v>
      </c>
      <c r="C23" s="11" t="s">
        <v>1076</v>
      </c>
      <c r="D23" s="12" t="s">
        <v>827</v>
      </c>
      <c r="E23" s="20">
        <v>1000</v>
      </c>
      <c r="F23" s="13"/>
    </row>
    <row r="24" spans="2:6">
      <c r="B24" s="11" t="s">
        <v>1077</v>
      </c>
      <c r="C24" s="11" t="s">
        <v>1078</v>
      </c>
      <c r="D24" s="12" t="s">
        <v>827</v>
      </c>
      <c r="E24" s="20">
        <v>22.1</v>
      </c>
      <c r="F24" s="13"/>
    </row>
    <row r="25" spans="2:6">
      <c r="B25" s="11" t="s">
        <v>1077</v>
      </c>
      <c r="C25" s="11" t="s">
        <v>1079</v>
      </c>
      <c r="D25" s="12" t="s">
        <v>827</v>
      </c>
      <c r="E25" s="20">
        <f>22.1/1000</f>
        <v>2.2100000000000002E-2</v>
      </c>
      <c r="F25" s="13"/>
    </row>
    <row r="26" spans="2:6">
      <c r="B26" s="11" t="s">
        <v>966</v>
      </c>
      <c r="C26" s="11" t="s">
        <v>1080</v>
      </c>
      <c r="D26" s="12" t="s">
        <v>827</v>
      </c>
      <c r="E26" s="20">
        <v>25.7</v>
      </c>
      <c r="F26" s="13"/>
    </row>
    <row r="27" spans="2:6">
      <c r="B27" s="11" t="s">
        <v>966</v>
      </c>
      <c r="C27" s="11" t="s">
        <v>746</v>
      </c>
      <c r="D27" s="12" t="s">
        <v>827</v>
      </c>
      <c r="E27" s="20">
        <f>25.7/1000</f>
        <v>2.5700000000000001E-2</v>
      </c>
      <c r="F27" s="13"/>
    </row>
    <row r="28" spans="2:6">
      <c r="B28" s="11" t="s">
        <v>1081</v>
      </c>
      <c r="C28" s="11" t="s">
        <v>1080</v>
      </c>
      <c r="D28" s="12" t="s">
        <v>827</v>
      </c>
      <c r="E28" s="20">
        <v>38.6</v>
      </c>
      <c r="F28" s="13"/>
    </row>
    <row r="29" spans="2:6">
      <c r="B29" s="11" t="s">
        <v>1081</v>
      </c>
      <c r="C29" s="11" t="s">
        <v>746</v>
      </c>
      <c r="D29" s="12" t="s">
        <v>827</v>
      </c>
      <c r="E29" s="20">
        <f>38.6/1000</f>
        <v>3.8600000000000002E-2</v>
      </c>
      <c r="F29" s="13"/>
    </row>
    <row r="30" spans="2:6">
      <c r="B30" s="78"/>
      <c r="C30" s="78"/>
      <c r="D30" s="77"/>
      <c r="E30" s="79"/>
      <c r="F30" s="13"/>
    </row>
    <row r="32" spans="2:6">
      <c r="B32" s="8" t="s">
        <v>1082</v>
      </c>
      <c r="C32" s="13"/>
      <c r="D32" s="13"/>
      <c r="E32" s="13"/>
      <c r="F32" s="13"/>
    </row>
    <row r="33" spans="2:8" ht="15.6">
      <c r="B33" s="15" t="s">
        <v>1083</v>
      </c>
      <c r="C33" s="15"/>
      <c r="D33" s="15"/>
      <c r="E33" s="15"/>
      <c r="F33" s="15"/>
      <c r="G33" s="15"/>
      <c r="H33" s="15"/>
    </row>
    <row r="34" spans="2:8" ht="15">
      <c r="B34" s="16" t="s">
        <v>1084</v>
      </c>
      <c r="C34" s="17"/>
      <c r="D34" s="17"/>
      <c r="E34" s="17"/>
      <c r="F34" s="16" t="s">
        <v>1085</v>
      </c>
      <c r="G34" s="16"/>
      <c r="H34" s="14"/>
    </row>
    <row r="35" spans="2:8" ht="15">
      <c r="B35" s="1" t="s">
        <v>1086</v>
      </c>
      <c r="C35" s="17"/>
      <c r="D35" s="17"/>
      <c r="E35" s="17"/>
      <c r="F35" s="82" t="s">
        <v>1087</v>
      </c>
      <c r="G35" s="82"/>
      <c r="H35" s="14"/>
    </row>
    <row r="36" spans="2:8">
      <c r="B36" s="61" t="s">
        <v>950</v>
      </c>
      <c r="C36" s="61" t="s">
        <v>125</v>
      </c>
      <c r="D36" s="61" t="s">
        <v>1088</v>
      </c>
      <c r="E36" s="61" t="s">
        <v>1089</v>
      </c>
      <c r="F36" s="14"/>
      <c r="G36" s="14"/>
      <c r="H36" s="14"/>
    </row>
    <row r="37" spans="2:8">
      <c r="B37" s="12" t="s">
        <v>139</v>
      </c>
      <c r="C37" s="11">
        <v>0.88</v>
      </c>
      <c r="D37" s="11">
        <v>0.18</v>
      </c>
      <c r="E37" s="11">
        <f>+C37+D37</f>
        <v>1.06</v>
      </c>
      <c r="F37" s="14"/>
      <c r="G37" s="14"/>
      <c r="H37" s="14"/>
    </row>
    <row r="38" spans="2:8">
      <c r="B38" s="12" t="s">
        <v>123</v>
      </c>
      <c r="C38" s="11">
        <v>0.88</v>
      </c>
      <c r="D38" s="11">
        <v>0.18</v>
      </c>
      <c r="E38" s="11">
        <f t="shared" ref="E38:E45" si="0">+C38+D38</f>
        <v>1.06</v>
      </c>
      <c r="F38" s="14"/>
      <c r="G38" s="14"/>
      <c r="H38" s="14"/>
    </row>
    <row r="39" spans="2:8">
      <c r="B39" s="12" t="s">
        <v>152</v>
      </c>
      <c r="C39" s="11">
        <v>1.19</v>
      </c>
      <c r="D39" s="11">
        <v>0.15</v>
      </c>
      <c r="E39" s="11">
        <f t="shared" si="0"/>
        <v>1.3399999999999999</v>
      </c>
      <c r="F39" s="14"/>
      <c r="G39" s="14"/>
      <c r="H39" s="14"/>
    </row>
    <row r="40" spans="2:8">
      <c r="B40" s="12" t="s">
        <v>165</v>
      </c>
      <c r="C40" s="11">
        <v>0.86</v>
      </c>
      <c r="D40" s="11">
        <v>0.12</v>
      </c>
      <c r="E40" s="11">
        <f t="shared" si="0"/>
        <v>0.98</v>
      </c>
      <c r="F40" s="14"/>
      <c r="G40" s="14"/>
      <c r="H40" s="14"/>
    </row>
    <row r="41" spans="2:8">
      <c r="B41" s="12" t="s">
        <v>178</v>
      </c>
      <c r="C41" s="11">
        <v>0.65</v>
      </c>
      <c r="D41" s="11">
        <v>0.14000000000000001</v>
      </c>
      <c r="E41" s="11">
        <f t="shared" si="0"/>
        <v>0.79</v>
      </c>
      <c r="F41" s="14"/>
      <c r="G41" s="14"/>
      <c r="H41" s="14"/>
    </row>
    <row r="42" spans="2:8">
      <c r="B42" s="12" t="s">
        <v>191</v>
      </c>
      <c r="C42" s="11">
        <v>0.82</v>
      </c>
      <c r="D42" s="11">
        <v>0.1</v>
      </c>
      <c r="E42" s="11">
        <f t="shared" si="0"/>
        <v>0.91999999999999993</v>
      </c>
      <c r="F42" s="14"/>
      <c r="G42" s="14"/>
      <c r="H42" s="14"/>
    </row>
    <row r="43" spans="2:8">
      <c r="B43" s="12" t="s">
        <v>217</v>
      </c>
      <c r="C43" s="11">
        <v>0.26</v>
      </c>
      <c r="D43" s="11">
        <v>0.02</v>
      </c>
      <c r="E43" s="11">
        <f t="shared" si="0"/>
        <v>0.28000000000000003</v>
      </c>
      <c r="F43" s="14"/>
      <c r="G43" s="14"/>
      <c r="H43" s="14"/>
    </row>
    <row r="44" spans="2:8">
      <c r="B44" s="12" t="s">
        <v>204</v>
      </c>
      <c r="C44" s="11">
        <v>0.71</v>
      </c>
      <c r="D44" s="11">
        <v>0.08</v>
      </c>
      <c r="E44" s="11">
        <f t="shared" si="0"/>
        <v>0.78999999999999992</v>
      </c>
      <c r="F44" s="14"/>
      <c r="G44" s="14"/>
      <c r="H44" s="14"/>
    </row>
    <row r="45" spans="2:8">
      <c r="B45" s="75" t="s">
        <v>961</v>
      </c>
      <c r="C45" s="76">
        <v>0.11945255700150104</v>
      </c>
      <c r="D45" s="76">
        <v>9.7408450614685643E-3</v>
      </c>
      <c r="E45" s="76">
        <f t="shared" si="0"/>
        <v>0.12919340206296959</v>
      </c>
      <c r="F45" s="14"/>
      <c r="G45" s="14"/>
      <c r="H45" s="14"/>
    </row>
    <row r="46" spans="2:8">
      <c r="B46" s="14"/>
      <c r="C46" s="14"/>
      <c r="D46" s="14"/>
      <c r="E46" s="14"/>
      <c r="F46" s="14"/>
      <c r="G46" s="14"/>
      <c r="H46" s="14"/>
    </row>
    <row r="47" spans="2:8">
      <c r="B47" s="8" t="s">
        <v>1090</v>
      </c>
      <c r="C47" s="13"/>
      <c r="D47" s="13"/>
      <c r="E47" s="13"/>
      <c r="F47" s="13"/>
      <c r="G47" s="13"/>
      <c r="H47" s="13"/>
    </row>
    <row r="48" spans="2:8" ht="15.6">
      <c r="B48" s="15" t="s">
        <v>1091</v>
      </c>
      <c r="C48" s="13"/>
      <c r="D48" s="13"/>
      <c r="E48" s="13"/>
      <c r="F48" s="16" t="s">
        <v>1085</v>
      </c>
      <c r="G48" s="13"/>
      <c r="H48" s="13"/>
    </row>
    <row r="49" spans="2:8" ht="15">
      <c r="B49" s="16" t="s">
        <v>1084</v>
      </c>
      <c r="C49" s="17"/>
      <c r="D49" s="17"/>
      <c r="E49" s="17"/>
      <c r="F49" s="82" t="s">
        <v>1087</v>
      </c>
      <c r="G49" s="14"/>
      <c r="H49" s="14"/>
    </row>
    <row r="50" spans="2:8" ht="15">
      <c r="B50" s="1" t="s">
        <v>1086</v>
      </c>
      <c r="C50" s="17"/>
      <c r="D50" s="17"/>
      <c r="E50" s="17"/>
      <c r="F50" s="14"/>
      <c r="G50" s="14"/>
      <c r="H50" s="14"/>
    </row>
    <row r="51" spans="2:8" ht="12.75" customHeight="1">
      <c r="B51" s="14"/>
      <c r="C51" s="463" t="s">
        <v>1092</v>
      </c>
      <c r="D51" s="464"/>
      <c r="E51" s="465"/>
      <c r="F51" s="461" t="s">
        <v>1093</v>
      </c>
      <c r="G51" s="461" t="s">
        <v>1094</v>
      </c>
      <c r="H51" s="461" t="s">
        <v>1095</v>
      </c>
    </row>
    <row r="52" spans="2:8" ht="15">
      <c r="B52" s="61" t="s">
        <v>950</v>
      </c>
      <c r="C52" s="61" t="s">
        <v>1096</v>
      </c>
      <c r="D52" s="61" t="s">
        <v>1097</v>
      </c>
      <c r="E52" s="61" t="s">
        <v>1098</v>
      </c>
      <c r="F52" s="462"/>
      <c r="G52" s="462"/>
      <c r="H52" s="462"/>
    </row>
    <row r="53" spans="2:8">
      <c r="B53" s="12" t="s">
        <v>139</v>
      </c>
      <c r="C53" s="18">
        <v>51.2</v>
      </c>
      <c r="D53" s="18">
        <v>0.1</v>
      </c>
      <c r="E53" s="11">
        <v>0.03</v>
      </c>
      <c r="F53" s="11">
        <f>SUM(C53:E53)</f>
        <v>51.330000000000005</v>
      </c>
      <c r="G53" s="11">
        <v>14.2</v>
      </c>
      <c r="H53" s="11">
        <v>15</v>
      </c>
    </row>
    <row r="54" spans="2:8">
      <c r="B54" s="12" t="s">
        <v>123</v>
      </c>
      <c r="C54" s="18">
        <v>51.2</v>
      </c>
      <c r="D54" s="18">
        <v>0.1</v>
      </c>
      <c r="E54" s="11">
        <v>0.03</v>
      </c>
      <c r="F54" s="11">
        <f t="shared" ref="F54:F61" si="1">SUM(C54:E54)</f>
        <v>51.330000000000005</v>
      </c>
      <c r="G54" s="11">
        <v>14.2</v>
      </c>
      <c r="H54" s="11">
        <v>15</v>
      </c>
    </row>
    <row r="55" spans="2:8">
      <c r="B55" s="12" t="s">
        <v>152</v>
      </c>
      <c r="C55" s="18">
        <v>51.2</v>
      </c>
      <c r="D55" s="18">
        <v>0.1</v>
      </c>
      <c r="E55" s="11">
        <v>0.03</v>
      </c>
      <c r="F55" s="11">
        <f t="shared" si="1"/>
        <v>51.330000000000005</v>
      </c>
      <c r="G55" s="11">
        <v>4</v>
      </c>
      <c r="H55" s="11">
        <v>4</v>
      </c>
    </row>
    <row r="56" spans="2:8">
      <c r="B56" s="12" t="s">
        <v>165</v>
      </c>
      <c r="C56" s="18">
        <v>51.2</v>
      </c>
      <c r="D56" s="18">
        <v>0.1</v>
      </c>
      <c r="E56" s="11">
        <v>0.03</v>
      </c>
      <c r="F56" s="11">
        <f t="shared" si="1"/>
        <v>51.330000000000005</v>
      </c>
      <c r="G56" s="11">
        <v>8.6</v>
      </c>
      <c r="H56" s="11">
        <v>7.8</v>
      </c>
    </row>
    <row r="57" spans="2:8">
      <c r="B57" s="12" t="s">
        <v>178</v>
      </c>
      <c r="C57" s="18">
        <v>51.2</v>
      </c>
      <c r="D57" s="18">
        <v>0.1</v>
      </c>
      <c r="E57" s="11">
        <v>0.03</v>
      </c>
      <c r="F57" s="11">
        <f t="shared" si="1"/>
        <v>51.330000000000005</v>
      </c>
      <c r="G57" s="11">
        <v>10.4</v>
      </c>
      <c r="H57" s="11">
        <v>10.199999999999999</v>
      </c>
    </row>
    <row r="58" spans="2:8">
      <c r="B58" s="12" t="s">
        <v>191</v>
      </c>
      <c r="C58" s="18">
        <v>51.2</v>
      </c>
      <c r="D58" s="18">
        <v>0.1</v>
      </c>
      <c r="E58" s="11">
        <v>0.03</v>
      </c>
      <c r="F58" s="11">
        <f t="shared" si="1"/>
        <v>51.330000000000005</v>
      </c>
      <c r="G58" s="11">
        <v>4</v>
      </c>
      <c r="H58" s="11">
        <v>3.9</v>
      </c>
    </row>
    <row r="59" spans="2:8">
      <c r="B59" s="12" t="s">
        <v>217</v>
      </c>
      <c r="C59" s="18">
        <v>51.2</v>
      </c>
      <c r="D59" s="18">
        <v>0.1</v>
      </c>
      <c r="E59" s="11">
        <v>0.03</v>
      </c>
      <c r="F59" s="11">
        <f t="shared" si="1"/>
        <v>51.330000000000005</v>
      </c>
      <c r="G59" s="11">
        <v>0</v>
      </c>
      <c r="H59" s="11">
        <v>0</v>
      </c>
    </row>
    <row r="60" spans="2:8">
      <c r="B60" s="12" t="s">
        <v>204</v>
      </c>
      <c r="C60" s="18">
        <v>51.2</v>
      </c>
      <c r="D60" s="18">
        <v>0.1</v>
      </c>
      <c r="E60" s="11">
        <v>0.03</v>
      </c>
      <c r="F60" s="11">
        <f t="shared" si="1"/>
        <v>51.330000000000005</v>
      </c>
      <c r="G60" s="11">
        <v>0</v>
      </c>
      <c r="H60" s="11">
        <v>0</v>
      </c>
    </row>
    <row r="61" spans="2:8">
      <c r="B61" s="75" t="s">
        <v>961</v>
      </c>
      <c r="C61" s="81">
        <v>53.809301257332471</v>
      </c>
      <c r="D61" s="81">
        <v>2.2499999999999999E-2</v>
      </c>
      <c r="E61" s="76">
        <v>2.682E-2</v>
      </c>
      <c r="F61" s="76">
        <f t="shared" si="1"/>
        <v>53.858621257332473</v>
      </c>
      <c r="G61" s="76">
        <v>6.25</v>
      </c>
      <c r="H61" s="76">
        <v>6.25</v>
      </c>
    </row>
    <row r="62" spans="2:8">
      <c r="B62" s="14"/>
      <c r="C62" s="14"/>
      <c r="D62" s="14"/>
      <c r="E62" s="14"/>
      <c r="F62" s="14"/>
      <c r="G62" s="14"/>
      <c r="H62" s="14"/>
    </row>
    <row r="63" spans="2:8">
      <c r="B63" s="8" t="s">
        <v>1099</v>
      </c>
      <c r="C63" s="13"/>
      <c r="D63" s="13"/>
      <c r="E63" s="13"/>
      <c r="F63" s="13"/>
      <c r="G63" s="13"/>
      <c r="H63" s="13"/>
    </row>
    <row r="64" spans="2:8" ht="15.6">
      <c r="B64" s="15" t="s">
        <v>1100</v>
      </c>
      <c r="C64" s="19"/>
      <c r="D64" s="19"/>
      <c r="E64" s="13"/>
      <c r="F64" s="13"/>
      <c r="G64" s="13"/>
      <c r="H64" s="13"/>
    </row>
    <row r="65" spans="2:8" ht="15">
      <c r="B65" s="16" t="s">
        <v>1084</v>
      </c>
      <c r="C65" s="17"/>
      <c r="D65" s="17"/>
      <c r="E65" s="17"/>
      <c r="F65" s="16" t="s">
        <v>1085</v>
      </c>
      <c r="G65" s="14"/>
      <c r="H65" s="14"/>
    </row>
    <row r="66" spans="2:8" ht="15">
      <c r="B66" s="1" t="s">
        <v>1086</v>
      </c>
      <c r="C66" s="17"/>
      <c r="D66" s="17"/>
      <c r="E66" s="17"/>
      <c r="F66" s="82" t="s">
        <v>1087</v>
      </c>
      <c r="G66" s="14"/>
      <c r="H66" s="14"/>
    </row>
    <row r="67" spans="2:8" ht="12.75" customHeight="1">
      <c r="B67" s="14"/>
      <c r="C67" s="463" t="s">
        <v>1092</v>
      </c>
      <c r="D67" s="464"/>
      <c r="E67" s="465"/>
      <c r="F67" s="461" t="s">
        <v>1093</v>
      </c>
      <c r="G67" s="461" t="s">
        <v>1101</v>
      </c>
      <c r="H67" s="461" t="s">
        <v>1102</v>
      </c>
    </row>
    <row r="68" spans="2:8" ht="15">
      <c r="B68" s="61" t="s">
        <v>950</v>
      </c>
      <c r="C68" s="61" t="s">
        <v>1096</v>
      </c>
      <c r="D68" s="61" t="s">
        <v>1097</v>
      </c>
      <c r="E68" s="61" t="s">
        <v>1098</v>
      </c>
      <c r="F68" s="462"/>
      <c r="G68" s="462"/>
      <c r="H68" s="462"/>
    </row>
    <row r="69" spans="2:8">
      <c r="B69" s="12" t="s">
        <v>139</v>
      </c>
      <c r="C69" s="20">
        <v>69.2</v>
      </c>
      <c r="D69" s="20">
        <v>0.1</v>
      </c>
      <c r="E69" s="20">
        <v>0.2</v>
      </c>
      <c r="F69" s="20">
        <f>+C69+D69+E69</f>
        <v>69.5</v>
      </c>
      <c r="G69" s="20">
        <v>5.3</v>
      </c>
      <c r="H69" s="11">
        <f>+F69+G69</f>
        <v>74.8</v>
      </c>
    </row>
    <row r="70" spans="2:8">
      <c r="B70" s="12" t="s">
        <v>123</v>
      </c>
      <c r="C70" s="20">
        <v>69.2</v>
      </c>
      <c r="D70" s="20">
        <v>0.1</v>
      </c>
      <c r="E70" s="20">
        <v>0.2</v>
      </c>
      <c r="F70" s="20">
        <f t="shared" ref="F70:F77" si="2">+C70+D70+E70</f>
        <v>69.5</v>
      </c>
      <c r="G70" s="20">
        <v>5.3</v>
      </c>
      <c r="H70" s="11">
        <f t="shared" ref="H70:H77" si="3">+F70+G70</f>
        <v>74.8</v>
      </c>
    </row>
    <row r="71" spans="2:8">
      <c r="B71" s="12" t="s">
        <v>152</v>
      </c>
      <c r="C71" s="20">
        <v>69.2</v>
      </c>
      <c r="D71" s="20">
        <v>0.1</v>
      </c>
      <c r="E71" s="20">
        <v>0.2</v>
      </c>
      <c r="F71" s="20">
        <f t="shared" si="2"/>
        <v>69.5</v>
      </c>
      <c r="G71" s="20">
        <v>5.3</v>
      </c>
      <c r="H71" s="11">
        <f t="shared" si="3"/>
        <v>74.8</v>
      </c>
    </row>
    <row r="72" spans="2:8">
      <c r="B72" s="12" t="s">
        <v>165</v>
      </c>
      <c r="C72" s="20">
        <v>69.2</v>
      </c>
      <c r="D72" s="20">
        <v>0.1</v>
      </c>
      <c r="E72" s="20">
        <v>0.2</v>
      </c>
      <c r="F72" s="20">
        <f t="shared" si="2"/>
        <v>69.5</v>
      </c>
      <c r="G72" s="20">
        <v>5.3</v>
      </c>
      <c r="H72" s="11">
        <f t="shared" si="3"/>
        <v>74.8</v>
      </c>
    </row>
    <row r="73" spans="2:8">
      <c r="B73" s="12" t="s">
        <v>178</v>
      </c>
      <c r="C73" s="20">
        <v>69.2</v>
      </c>
      <c r="D73" s="20">
        <v>0.1</v>
      </c>
      <c r="E73" s="20">
        <v>0.2</v>
      </c>
      <c r="F73" s="20">
        <f t="shared" si="2"/>
        <v>69.5</v>
      </c>
      <c r="G73" s="20">
        <v>5.3</v>
      </c>
      <c r="H73" s="11">
        <f t="shared" si="3"/>
        <v>74.8</v>
      </c>
    </row>
    <row r="74" spans="2:8">
      <c r="B74" s="12" t="s">
        <v>191</v>
      </c>
      <c r="C74" s="20">
        <v>69.2</v>
      </c>
      <c r="D74" s="20">
        <v>0.1</v>
      </c>
      <c r="E74" s="20">
        <v>0.2</v>
      </c>
      <c r="F74" s="20">
        <f t="shared" si="2"/>
        <v>69.5</v>
      </c>
      <c r="G74" s="20">
        <v>5.3</v>
      </c>
      <c r="H74" s="11">
        <f t="shared" si="3"/>
        <v>74.8</v>
      </c>
    </row>
    <row r="75" spans="2:8">
      <c r="B75" s="12" t="s">
        <v>217</v>
      </c>
      <c r="C75" s="20">
        <v>69.2</v>
      </c>
      <c r="D75" s="20">
        <v>0.1</v>
      </c>
      <c r="E75" s="20">
        <v>0.2</v>
      </c>
      <c r="F75" s="20">
        <f t="shared" si="2"/>
        <v>69.5</v>
      </c>
      <c r="G75" s="20">
        <v>5.3</v>
      </c>
      <c r="H75" s="11">
        <f t="shared" si="3"/>
        <v>74.8</v>
      </c>
    </row>
    <row r="76" spans="2:8">
      <c r="B76" s="12" t="s">
        <v>204</v>
      </c>
      <c r="C76" s="20">
        <v>69.2</v>
      </c>
      <c r="D76" s="20">
        <v>0.1</v>
      </c>
      <c r="E76" s="20">
        <v>0.2</v>
      </c>
      <c r="F76" s="20">
        <f t="shared" si="2"/>
        <v>69.5</v>
      </c>
      <c r="G76" s="20">
        <v>5.3</v>
      </c>
      <c r="H76" s="11">
        <f t="shared" si="3"/>
        <v>74.8</v>
      </c>
    </row>
    <row r="77" spans="2:8">
      <c r="B77" s="75" t="s">
        <v>961</v>
      </c>
      <c r="C77" s="76">
        <v>69.221825476207485</v>
      </c>
      <c r="D77" s="76">
        <v>0.23628107386912714</v>
      </c>
      <c r="E77" s="76">
        <v>0.16898822403119976</v>
      </c>
      <c r="F77" s="76">
        <f t="shared" si="2"/>
        <v>69.627094774107803</v>
      </c>
      <c r="G77" s="80">
        <v>0</v>
      </c>
      <c r="H77" s="76">
        <f t="shared" si="3"/>
        <v>69.627094774107803</v>
      </c>
    </row>
    <row r="78" spans="2:8" ht="13.9">
      <c r="C78" s="21"/>
      <c r="D78" s="14"/>
      <c r="E78" s="14"/>
      <c r="F78" s="14"/>
      <c r="G78" s="22"/>
      <c r="H78" s="14"/>
    </row>
    <row r="79" spans="2:8" ht="13.9">
      <c r="B79" s="8" t="s">
        <v>1082</v>
      </c>
      <c r="C79" s="13"/>
      <c r="D79" s="13"/>
      <c r="E79" s="13"/>
      <c r="F79" s="14"/>
      <c r="G79" s="264"/>
      <c r="H79" s="14"/>
    </row>
    <row r="80" spans="2:8" ht="15.6">
      <c r="B80" s="15" t="s">
        <v>1103</v>
      </c>
      <c r="C80" s="15"/>
      <c r="D80" s="15"/>
      <c r="E80" s="15"/>
      <c r="F80" s="14"/>
      <c r="G80" s="264"/>
      <c r="H80" s="14"/>
    </row>
    <row r="81" spans="2:6" ht="15">
      <c r="B81" s="16" t="s">
        <v>1084</v>
      </c>
      <c r="C81" s="17"/>
      <c r="D81" s="17"/>
      <c r="E81" s="17"/>
      <c r="F81" s="16" t="s">
        <v>1085</v>
      </c>
    </row>
    <row r="82" spans="2:6" ht="15">
      <c r="B82" s="1" t="s">
        <v>1086</v>
      </c>
      <c r="C82" s="17"/>
      <c r="D82" s="17"/>
      <c r="E82" s="17"/>
      <c r="F82" s="82" t="s">
        <v>1087</v>
      </c>
    </row>
    <row r="83" spans="2:6">
      <c r="B83" s="61" t="s">
        <v>950</v>
      </c>
      <c r="C83" s="61" t="s">
        <v>1092</v>
      </c>
      <c r="D83" s="61" t="s">
        <v>1088</v>
      </c>
      <c r="E83" s="61" t="s">
        <v>1089</v>
      </c>
      <c r="F83" s="14"/>
    </row>
    <row r="84" spans="2:6">
      <c r="B84" s="12" t="s">
        <v>139</v>
      </c>
      <c r="C84" s="11">
        <f t="shared" ref="C84:C91" si="4">59.6+0.1+0.2</f>
        <v>59.900000000000006</v>
      </c>
      <c r="D84" s="11">
        <v>5</v>
      </c>
      <c r="E84" s="11">
        <f>+C84+D84</f>
        <v>64.900000000000006</v>
      </c>
      <c r="F84" s="14"/>
    </row>
    <row r="85" spans="2:6">
      <c r="B85" s="12" t="s">
        <v>123</v>
      </c>
      <c r="C85" s="11">
        <f t="shared" si="4"/>
        <v>59.900000000000006</v>
      </c>
      <c r="D85" s="11">
        <v>5</v>
      </c>
      <c r="E85" s="11">
        <f t="shared" ref="E85:E92" si="5">+C85+D85</f>
        <v>64.900000000000006</v>
      </c>
      <c r="F85" s="14"/>
    </row>
    <row r="86" spans="2:6">
      <c r="B86" s="12" t="s">
        <v>152</v>
      </c>
      <c r="C86" s="11">
        <f t="shared" si="4"/>
        <v>59.900000000000006</v>
      </c>
      <c r="D86" s="11">
        <v>5</v>
      </c>
      <c r="E86" s="11">
        <f t="shared" si="5"/>
        <v>64.900000000000006</v>
      </c>
      <c r="F86" s="14"/>
    </row>
    <row r="87" spans="2:6">
      <c r="B87" s="12" t="s">
        <v>165</v>
      </c>
      <c r="C87" s="11">
        <f t="shared" si="4"/>
        <v>59.900000000000006</v>
      </c>
      <c r="D87" s="11">
        <v>5</v>
      </c>
      <c r="E87" s="11">
        <f t="shared" si="5"/>
        <v>64.900000000000006</v>
      </c>
      <c r="F87" s="14"/>
    </row>
    <row r="88" spans="2:6">
      <c r="B88" s="12" t="s">
        <v>178</v>
      </c>
      <c r="C88" s="11">
        <f t="shared" si="4"/>
        <v>59.900000000000006</v>
      </c>
      <c r="D88" s="11">
        <v>5</v>
      </c>
      <c r="E88" s="11">
        <f t="shared" si="5"/>
        <v>64.900000000000006</v>
      </c>
      <c r="F88" s="14"/>
    </row>
    <row r="89" spans="2:6">
      <c r="B89" s="12" t="s">
        <v>191</v>
      </c>
      <c r="C89" s="11">
        <f t="shared" si="4"/>
        <v>59.900000000000006</v>
      </c>
      <c r="D89" s="11">
        <v>5</v>
      </c>
      <c r="E89" s="11">
        <f t="shared" si="5"/>
        <v>64.900000000000006</v>
      </c>
      <c r="F89" s="14"/>
    </row>
    <row r="90" spans="2:6">
      <c r="B90" s="12" t="s">
        <v>217</v>
      </c>
      <c r="C90" s="11">
        <f t="shared" si="4"/>
        <v>59.900000000000006</v>
      </c>
      <c r="D90" s="11">
        <v>5</v>
      </c>
      <c r="E90" s="11">
        <f t="shared" si="5"/>
        <v>64.900000000000006</v>
      </c>
      <c r="F90" s="14"/>
    </row>
    <row r="91" spans="2:6">
      <c r="B91" s="12" t="s">
        <v>204</v>
      </c>
      <c r="C91" s="11">
        <f t="shared" si="4"/>
        <v>59.900000000000006</v>
      </c>
      <c r="D91" s="11">
        <v>5</v>
      </c>
      <c r="E91" s="11">
        <f t="shared" si="5"/>
        <v>64.900000000000006</v>
      </c>
      <c r="F91" s="14"/>
    </row>
    <row r="92" spans="2:6">
      <c r="B92" s="75" t="s">
        <v>961</v>
      </c>
      <c r="C92" s="76">
        <v>63.166376446173729</v>
      </c>
      <c r="D92" s="76">
        <v>0</v>
      </c>
      <c r="E92" s="76">
        <f t="shared" si="5"/>
        <v>63.166376446173729</v>
      </c>
      <c r="F92" s="14"/>
    </row>
    <row r="93" spans="2:6">
      <c r="C93" s="21"/>
      <c r="D93" s="14"/>
      <c r="E93" s="14"/>
      <c r="F93" s="14"/>
    </row>
    <row r="94" spans="2:6">
      <c r="B94" s="8" t="s">
        <v>1082</v>
      </c>
      <c r="C94" s="13"/>
      <c r="D94" s="13"/>
      <c r="E94" s="13"/>
      <c r="F94" s="14"/>
    </row>
    <row r="95" spans="2:6" ht="15.6">
      <c r="B95" s="15" t="s">
        <v>1104</v>
      </c>
      <c r="C95" s="15"/>
      <c r="D95" s="15"/>
      <c r="E95" s="15"/>
      <c r="F95" s="14"/>
    </row>
    <row r="96" spans="2:6" ht="15">
      <c r="B96" s="16" t="s">
        <v>1084</v>
      </c>
      <c r="C96" s="17"/>
      <c r="D96" s="17"/>
      <c r="E96" s="17"/>
      <c r="F96" s="16" t="s">
        <v>1085</v>
      </c>
    </row>
    <row r="97" spans="2:6" ht="15">
      <c r="B97" s="1" t="s">
        <v>1086</v>
      </c>
      <c r="C97" s="17"/>
      <c r="D97" s="17"/>
      <c r="E97" s="17"/>
      <c r="F97" s="82" t="s">
        <v>1087</v>
      </c>
    </row>
    <row r="98" spans="2:6">
      <c r="B98" s="61" t="s">
        <v>950</v>
      </c>
      <c r="C98" s="61" t="s">
        <v>1092</v>
      </c>
      <c r="D98" s="61" t="s">
        <v>1088</v>
      </c>
      <c r="E98" s="61" t="s">
        <v>1089</v>
      </c>
      <c r="F98" s="14"/>
    </row>
    <row r="99" spans="2:6">
      <c r="B99" s="12" t="s">
        <v>139</v>
      </c>
      <c r="C99" s="11">
        <f t="shared" ref="C99:C106" si="6">93.3+0.06+0.3</f>
        <v>93.66</v>
      </c>
      <c r="D99" s="11">
        <v>10.7</v>
      </c>
      <c r="E99" s="11">
        <f>+C99+D99</f>
        <v>104.36</v>
      </c>
      <c r="F99" s="14"/>
    </row>
    <row r="100" spans="2:6">
      <c r="B100" s="12" t="s">
        <v>123</v>
      </c>
      <c r="C100" s="11">
        <f t="shared" si="6"/>
        <v>93.66</v>
      </c>
      <c r="D100" s="11">
        <v>10.7</v>
      </c>
      <c r="E100" s="11">
        <f t="shared" ref="E100:E107" si="7">+C100+D100</f>
        <v>104.36</v>
      </c>
      <c r="F100" s="14"/>
    </row>
    <row r="101" spans="2:6">
      <c r="B101" s="12" t="s">
        <v>152</v>
      </c>
      <c r="C101" s="11">
        <f t="shared" si="6"/>
        <v>93.66</v>
      </c>
      <c r="D101" s="11">
        <v>10.7</v>
      </c>
      <c r="E101" s="11">
        <f t="shared" si="7"/>
        <v>104.36</v>
      </c>
      <c r="F101" s="14"/>
    </row>
    <row r="102" spans="2:6">
      <c r="B102" s="12" t="s">
        <v>165</v>
      </c>
      <c r="C102" s="11">
        <f t="shared" si="6"/>
        <v>93.66</v>
      </c>
      <c r="D102" s="11">
        <v>10.7</v>
      </c>
      <c r="E102" s="11">
        <f t="shared" si="7"/>
        <v>104.36</v>
      </c>
      <c r="F102" s="14"/>
    </row>
    <row r="103" spans="2:6">
      <c r="B103" s="12" t="s">
        <v>178</v>
      </c>
      <c r="C103" s="11">
        <f t="shared" si="6"/>
        <v>93.66</v>
      </c>
      <c r="D103" s="11">
        <v>10.7</v>
      </c>
      <c r="E103" s="11">
        <f t="shared" si="7"/>
        <v>104.36</v>
      </c>
      <c r="F103" s="14"/>
    </row>
    <row r="104" spans="2:6">
      <c r="B104" s="12" t="s">
        <v>191</v>
      </c>
      <c r="C104" s="11">
        <f t="shared" si="6"/>
        <v>93.66</v>
      </c>
      <c r="D104" s="11">
        <v>10.7</v>
      </c>
      <c r="E104" s="11">
        <f t="shared" si="7"/>
        <v>104.36</v>
      </c>
      <c r="F104" s="14"/>
    </row>
    <row r="105" spans="2:6">
      <c r="B105" s="12" t="s">
        <v>217</v>
      </c>
      <c r="C105" s="11">
        <f t="shared" si="6"/>
        <v>93.66</v>
      </c>
      <c r="D105" s="11">
        <v>10.7</v>
      </c>
      <c r="E105" s="11">
        <f t="shared" si="7"/>
        <v>104.36</v>
      </c>
      <c r="F105" s="14"/>
    </row>
    <row r="106" spans="2:6">
      <c r="B106" s="12" t="s">
        <v>204</v>
      </c>
      <c r="C106" s="11">
        <f t="shared" si="6"/>
        <v>93.66</v>
      </c>
      <c r="D106" s="11">
        <v>10.7</v>
      </c>
      <c r="E106" s="11">
        <f t="shared" si="7"/>
        <v>104.36</v>
      </c>
      <c r="F106" s="14"/>
    </row>
    <row r="107" spans="2:6">
      <c r="B107" s="75" t="s">
        <v>961</v>
      </c>
      <c r="C107" s="76">
        <v>88.26542237372378</v>
      </c>
      <c r="D107" s="76">
        <v>0</v>
      </c>
      <c r="E107" s="76">
        <f t="shared" si="7"/>
        <v>88.26542237372378</v>
      </c>
      <c r="F107" s="14"/>
    </row>
    <row r="108" spans="2:6">
      <c r="C108" s="21"/>
      <c r="D108" s="14"/>
      <c r="E108" s="14"/>
      <c r="F108" s="14"/>
    </row>
    <row r="109" spans="2:6">
      <c r="C109" s="21"/>
      <c r="D109" s="14"/>
      <c r="E109" s="14"/>
      <c r="F109" s="14"/>
    </row>
    <row r="110" spans="2:6">
      <c r="C110" s="21"/>
      <c r="D110" s="14"/>
      <c r="E110" s="14"/>
      <c r="F110" s="14"/>
    </row>
    <row r="111" spans="2:6">
      <c r="C111" s="21"/>
      <c r="D111" s="14"/>
      <c r="E111" s="14"/>
      <c r="F111" s="14"/>
    </row>
    <row r="112" spans="2:6" ht="13.9">
      <c r="B112" s="8" t="s">
        <v>1105</v>
      </c>
      <c r="C112" s="23" t="s">
        <v>113</v>
      </c>
      <c r="D112" s="22"/>
      <c r="E112" s="22"/>
      <c r="F112" s="22"/>
    </row>
    <row r="113" spans="2:3">
      <c r="B113" t="s">
        <v>1106</v>
      </c>
      <c r="C113" t="s">
        <v>1107</v>
      </c>
    </row>
    <row r="114" spans="2:3">
      <c r="B114" t="s">
        <v>1108</v>
      </c>
      <c r="C114" t="s">
        <v>1107</v>
      </c>
    </row>
    <row r="115" spans="2:3">
      <c r="B115" t="s">
        <v>1109</v>
      </c>
      <c r="C115" t="s">
        <v>1107</v>
      </c>
    </row>
    <row r="116" spans="2:3">
      <c r="B116" t="s">
        <v>1110</v>
      </c>
      <c r="C116" t="s">
        <v>1107</v>
      </c>
    </row>
    <row r="117" spans="2:3">
      <c r="B117" t="s">
        <v>1111</v>
      </c>
      <c r="C117" t="s">
        <v>1107</v>
      </c>
    </row>
    <row r="118" spans="2:3">
      <c r="B118" t="s">
        <v>1112</v>
      </c>
      <c r="C118" t="s">
        <v>1107</v>
      </c>
    </row>
    <row r="119" spans="2:3">
      <c r="B119" t="s">
        <v>1113</v>
      </c>
      <c r="C119" t="s">
        <v>1107</v>
      </c>
    </row>
    <row r="120" spans="2:3">
      <c r="B120" t="s">
        <v>1114</v>
      </c>
      <c r="C120" t="s">
        <v>1107</v>
      </c>
    </row>
    <row r="121" spans="2:3">
      <c r="B121" t="s">
        <v>1115</v>
      </c>
      <c r="C121" t="s">
        <v>1107</v>
      </c>
    </row>
    <row r="122" spans="2:3">
      <c r="B122" t="s">
        <v>1116</v>
      </c>
      <c r="C122" t="s">
        <v>1107</v>
      </c>
    </row>
    <row r="123" spans="2:3">
      <c r="B123" t="s">
        <v>1117</v>
      </c>
      <c r="C123" t="s">
        <v>1107</v>
      </c>
    </row>
    <row r="124" spans="2:3">
      <c r="B124" t="s">
        <v>1118</v>
      </c>
      <c r="C124" t="s">
        <v>1107</v>
      </c>
    </row>
    <row r="125" spans="2:3">
      <c r="B125" t="s">
        <v>1119</v>
      </c>
      <c r="C125" t="s">
        <v>1107</v>
      </c>
    </row>
    <row r="126" spans="2:3">
      <c r="B126" t="s">
        <v>1120</v>
      </c>
      <c r="C126" t="s">
        <v>1107</v>
      </c>
    </row>
    <row r="127" spans="2:3">
      <c r="B127" s="24" t="s">
        <v>1121</v>
      </c>
      <c r="C127"/>
    </row>
    <row r="128" spans="2:3">
      <c r="B128" t="s">
        <v>1118</v>
      </c>
      <c r="C128" t="s">
        <v>1122</v>
      </c>
    </row>
    <row r="129" spans="2:3">
      <c r="B129" t="s">
        <v>1123</v>
      </c>
      <c r="C129" t="s">
        <v>1122</v>
      </c>
    </row>
    <row r="130" spans="2:3">
      <c r="B130" t="s">
        <v>1124</v>
      </c>
      <c r="C130" t="s">
        <v>1122</v>
      </c>
    </row>
    <row r="131" spans="2:3">
      <c r="B131" t="s">
        <v>1125</v>
      </c>
      <c r="C131" t="s">
        <v>1122</v>
      </c>
    </row>
    <row r="132" spans="2:3">
      <c r="B132" t="s">
        <v>1126</v>
      </c>
      <c r="C132" t="s">
        <v>1122</v>
      </c>
    </row>
    <row r="133" spans="2:3">
      <c r="B133" t="s">
        <v>1127</v>
      </c>
      <c r="C133" t="s">
        <v>1122</v>
      </c>
    </row>
    <row r="134" spans="2:3">
      <c r="B134" t="s">
        <v>1128</v>
      </c>
      <c r="C134" t="s">
        <v>1122</v>
      </c>
    </row>
    <row r="135" spans="2:3">
      <c r="B135" t="s">
        <v>1129</v>
      </c>
      <c r="C135" t="s">
        <v>1122</v>
      </c>
    </row>
    <row r="136" spans="2:3">
      <c r="B136" t="s">
        <v>1130</v>
      </c>
      <c r="C136" t="s">
        <v>1122</v>
      </c>
    </row>
    <row r="137" spans="2:3">
      <c r="B137" t="s">
        <v>1131</v>
      </c>
      <c r="C137" t="s">
        <v>1122</v>
      </c>
    </row>
    <row r="138" spans="2:3">
      <c r="B138" t="s">
        <v>1132</v>
      </c>
      <c r="C138" t="s">
        <v>1122</v>
      </c>
    </row>
    <row r="139" spans="2:3">
      <c r="B139" t="s">
        <v>1133</v>
      </c>
      <c r="C139" t="s">
        <v>1122</v>
      </c>
    </row>
    <row r="140" spans="2:3">
      <c r="B140" t="s">
        <v>1134</v>
      </c>
      <c r="C140" t="s">
        <v>1122</v>
      </c>
    </row>
    <row r="141" spans="2:3">
      <c r="B141" s="24" t="s">
        <v>1121</v>
      </c>
      <c r="C141"/>
    </row>
    <row r="142" spans="2:3">
      <c r="B142" t="s">
        <v>1135</v>
      </c>
      <c r="C142" t="s">
        <v>1136</v>
      </c>
    </row>
    <row r="143" spans="2:3">
      <c r="B143" t="s">
        <v>1137</v>
      </c>
      <c r="C143" t="s">
        <v>1136</v>
      </c>
    </row>
    <row r="144" spans="2:3">
      <c r="B144" t="s">
        <v>1138</v>
      </c>
      <c r="C144" t="s">
        <v>1136</v>
      </c>
    </row>
    <row r="145" spans="2:3">
      <c r="B145" t="s">
        <v>1139</v>
      </c>
      <c r="C145" t="s">
        <v>1136</v>
      </c>
    </row>
    <row r="146" spans="2:3">
      <c r="B146" t="s">
        <v>1140</v>
      </c>
      <c r="C146" t="s">
        <v>1136</v>
      </c>
    </row>
    <row r="147" spans="2:3">
      <c r="B147" t="s">
        <v>1141</v>
      </c>
      <c r="C147" t="s">
        <v>1136</v>
      </c>
    </row>
    <row r="148" spans="2:3">
      <c r="B148" t="s">
        <v>1142</v>
      </c>
      <c r="C148" t="s">
        <v>1136</v>
      </c>
    </row>
    <row r="149" spans="2:3">
      <c r="B149" t="s">
        <v>1143</v>
      </c>
      <c r="C149" t="s">
        <v>1136</v>
      </c>
    </row>
    <row r="150" spans="2:3">
      <c r="B150" t="s">
        <v>1144</v>
      </c>
      <c r="C150" t="s">
        <v>1136</v>
      </c>
    </row>
    <row r="151" spans="2:3">
      <c r="B151" t="s">
        <v>1145</v>
      </c>
      <c r="C151" t="s">
        <v>1136</v>
      </c>
    </row>
    <row r="152" spans="2:3">
      <c r="B152" t="s">
        <v>1146</v>
      </c>
      <c r="C152" t="s">
        <v>1136</v>
      </c>
    </row>
    <row r="153" spans="2:3">
      <c r="B153" t="s">
        <v>1147</v>
      </c>
      <c r="C153" t="s">
        <v>1136</v>
      </c>
    </row>
    <row r="154" spans="2:3">
      <c r="B154" t="s">
        <v>1148</v>
      </c>
      <c r="C154" t="s">
        <v>1136</v>
      </c>
    </row>
    <row r="155" spans="2:3">
      <c r="B155" t="s">
        <v>1149</v>
      </c>
      <c r="C155" t="s">
        <v>1136</v>
      </c>
    </row>
    <row r="156" spans="2:3">
      <c r="B156" t="s">
        <v>1150</v>
      </c>
      <c r="C156" t="s">
        <v>1136</v>
      </c>
    </row>
    <row r="158" spans="2:3">
      <c r="B158" s="8" t="s">
        <v>1105</v>
      </c>
    </row>
    <row r="159" spans="2:3">
      <c r="B159" t="s">
        <v>1151</v>
      </c>
    </row>
    <row r="160" spans="2:3">
      <c r="B160" t="s">
        <v>1152</v>
      </c>
    </row>
    <row r="161" spans="2:2">
      <c r="B161" t="s">
        <v>1153</v>
      </c>
    </row>
    <row r="162" spans="2:2">
      <c r="B162" t="s">
        <v>1154</v>
      </c>
    </row>
    <row r="163" spans="2:2">
      <c r="B163" t="s">
        <v>1155</v>
      </c>
    </row>
    <row r="164" spans="2:2">
      <c r="B164" t="s">
        <v>1156</v>
      </c>
    </row>
    <row r="165" spans="2:2">
      <c r="B165" t="s">
        <v>1157</v>
      </c>
    </row>
    <row r="166" spans="2:2">
      <c r="B166" t="s">
        <v>1158</v>
      </c>
    </row>
    <row r="167" spans="2:2">
      <c r="B167" t="s">
        <v>1159</v>
      </c>
    </row>
    <row r="168" spans="2:2">
      <c r="B168" t="s">
        <v>1160</v>
      </c>
    </row>
    <row r="169" spans="2:2">
      <c r="B169" t="s">
        <v>1161</v>
      </c>
    </row>
    <row r="170" spans="2:2">
      <c r="B170" t="s">
        <v>1162</v>
      </c>
    </row>
    <row r="171" spans="2:2">
      <c r="B171" t="s">
        <v>1163</v>
      </c>
    </row>
    <row r="172" spans="2:2">
      <c r="B172" t="s">
        <v>1164</v>
      </c>
    </row>
    <row r="173" spans="2:2">
      <c r="B173" t="s">
        <v>1165</v>
      </c>
    </row>
    <row r="174" spans="2:2">
      <c r="B174" t="s">
        <v>1166</v>
      </c>
    </row>
    <row r="175" spans="2:2">
      <c r="B175" t="s">
        <v>1167</v>
      </c>
    </row>
    <row r="176" spans="2:2">
      <c r="B176" t="s">
        <v>1168</v>
      </c>
    </row>
    <row r="177" spans="2:2">
      <c r="B177" t="s">
        <v>1169</v>
      </c>
    </row>
    <row r="179" spans="2:2">
      <c r="B179" s="6" t="s">
        <v>1170</v>
      </c>
    </row>
    <row r="180" spans="2:2">
      <c r="B180" s="2" t="s">
        <v>1171</v>
      </c>
    </row>
    <row r="181" spans="2:2" ht="12.75" customHeight="1">
      <c r="B181" s="6" t="b">
        <v>1</v>
      </c>
    </row>
    <row r="182" spans="2:2" ht="12.75" customHeight="1">
      <c r="B182" s="6" t="b">
        <v>0</v>
      </c>
    </row>
    <row r="185" spans="2:2">
      <c r="B185" s="2" t="s">
        <v>1172</v>
      </c>
    </row>
    <row r="186" spans="2:2">
      <c r="B186" s="34" t="s">
        <v>1173</v>
      </c>
    </row>
    <row r="187" spans="2:2">
      <c r="B187" s="34" t="s">
        <v>1174</v>
      </c>
    </row>
  </sheetData>
  <customSheetViews>
    <customSheetView guid="{8B2770CE-D161-47F0-859F-125AE657BDD5}" showGridLines="0" fitToPage="1" state="hidden">
      <selection activeCell="G7" sqref="G7"/>
      <pageMargins left="0" right="0" top="0" bottom="0" header="0" footer="0"/>
      <pageSetup paperSize="9" scale="31" orientation="portrait" r:id="rId1"/>
      <headerFooter alignWithMargins="0"/>
    </customSheetView>
    <customSheetView guid="{693EBD7D-AE81-4642-BB20-D90B339CE02F}" showGridLines="0" fitToPage="1" hiddenRows="1" state="hidden" topLeftCell="A307">
      <selection activeCell="G138" sqref="G138"/>
      <pageMargins left="0" right="0" top="0" bottom="0" header="0" footer="0"/>
      <pageSetup paperSize="9" scale="31" orientation="portrait" r:id="rId2"/>
      <headerFooter alignWithMargins="0"/>
    </customSheetView>
    <customSheetView guid="{E06C82F7-4BAD-4D00-99B9-78356C6407C1}" showGridLines="0" fitToPage="1" hiddenRows="1" state="hidden">
      <selection activeCell="A11" sqref="A11:XFD112"/>
      <pageMargins left="0" right="0" top="0" bottom="0" header="0" footer="0"/>
      <pageSetup paperSize="9" scale="31" orientation="portrait" r:id="rId3"/>
      <headerFooter alignWithMargins="0"/>
    </customSheetView>
    <customSheetView guid="{F1CAFB27-0D4C-4982-A367-458EC793250D}" showGridLines="0" fitToPage="1" hiddenRows="1" state="hidden">
      <selection activeCell="A11" sqref="A11:XFD112"/>
      <pageMargins left="0" right="0" top="0" bottom="0" header="0" footer="0"/>
      <pageSetup paperSize="9" scale="31" orientation="portrait" r:id="rId4"/>
      <headerFooter alignWithMargins="0"/>
    </customSheetView>
    <customSheetView guid="{0AA775FA-F8A9-4D24-AA12-2EE4A0C4B54A}" showGridLines="0" fitToPage="1" hiddenRows="1" state="hidden" topLeftCell="A307">
      <selection activeCell="G138" sqref="G138"/>
      <pageMargins left="0" right="0" top="0" bottom="0" header="0" footer="0"/>
      <pageSetup paperSize="9" scale="31" orientation="portrait" r:id="rId5"/>
      <headerFooter alignWithMargins="0"/>
    </customSheetView>
  </customSheetViews>
  <mergeCells count="8">
    <mergeCell ref="H51:H52"/>
    <mergeCell ref="F51:F52"/>
    <mergeCell ref="C67:E67"/>
    <mergeCell ref="F67:F68"/>
    <mergeCell ref="G67:G68"/>
    <mergeCell ref="H67:H68"/>
    <mergeCell ref="G51:G52"/>
    <mergeCell ref="C51:E51"/>
  </mergeCells>
  <hyperlinks>
    <hyperlink ref="B35" r:id="rId6" xr:uid="{00000000-0004-0000-0500-000000000000}"/>
    <hyperlink ref="B50" r:id="rId7" xr:uid="{00000000-0004-0000-0500-000001000000}"/>
    <hyperlink ref="B66" r:id="rId8" xr:uid="{00000000-0004-0000-0500-000002000000}"/>
    <hyperlink ref="B82" r:id="rId9" xr:uid="{00000000-0004-0000-0500-000003000000}"/>
    <hyperlink ref="B97" r:id="rId10" xr:uid="{00000000-0004-0000-0500-000004000000}"/>
    <hyperlink ref="F49" r:id="rId11" xr:uid="{00000000-0004-0000-0500-000005000000}"/>
    <hyperlink ref="F35" r:id="rId12" xr:uid="{00000000-0004-0000-0500-000006000000}"/>
    <hyperlink ref="F66" r:id="rId13" xr:uid="{00000000-0004-0000-0500-000007000000}"/>
    <hyperlink ref="F82" r:id="rId14" xr:uid="{00000000-0004-0000-0500-000008000000}"/>
    <hyperlink ref="F97" r:id="rId15" xr:uid="{00000000-0004-0000-0500-000009000000}"/>
  </hyperlinks>
  <pageMargins left="0.74803149606299213" right="0.74803149606299213" top="0.98425196850393704" bottom="0.98425196850393704" header="0.51181102362204722" footer="0.51181102362204722"/>
  <pageSetup paperSize="9" scale="31" orientation="portrait" r:id="rId16"/>
  <headerFooter alignWithMargins="0"/>
  <drawing r:id="rId17"/>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0" tint="-0.14999847407452621"/>
    <pageSetUpPr fitToPage="1"/>
  </sheetPr>
  <dimension ref="B8:I57"/>
  <sheetViews>
    <sheetView showGridLines="0" workbookViewId="0">
      <selection activeCell="J23" sqref="J23"/>
    </sheetView>
  </sheetViews>
  <sheetFormatPr defaultColWidth="9.28515625" defaultRowHeight="13.15"/>
  <cols>
    <col min="1" max="1" width="5.7109375" style="194" customWidth="1"/>
    <col min="2" max="2" width="24.5703125" style="194" customWidth="1"/>
    <col min="3" max="3" width="21.7109375" style="194" customWidth="1"/>
    <col min="4" max="4" width="5.7109375" style="194" customWidth="1"/>
    <col min="5" max="5" width="24.42578125" style="194" bestFit="1" customWidth="1"/>
    <col min="6" max="6" width="27.5703125" style="194" customWidth="1"/>
    <col min="7" max="7" width="5.7109375" style="194" customWidth="1"/>
    <col min="8" max="8" width="21.7109375" style="194" customWidth="1"/>
    <col min="9" max="9" width="26.28515625" style="194" bestFit="1" customWidth="1"/>
    <col min="10" max="16384" width="9.28515625" style="194"/>
  </cols>
  <sheetData>
    <row r="8" spans="2:9" s="180" customFormat="1" ht="20.100000000000001" customHeight="1">
      <c r="B8" s="177" t="s">
        <v>1175</v>
      </c>
      <c r="C8" s="63"/>
      <c r="D8" s="63"/>
      <c r="E8" s="63"/>
      <c r="F8" s="63"/>
      <c r="G8" s="63"/>
      <c r="H8" s="63"/>
      <c r="I8" s="63"/>
    </row>
    <row r="9" spans="2:9" ht="15" customHeight="1"/>
    <row r="10" spans="2:9" ht="15" customHeight="1">
      <c r="B10" s="463" t="s">
        <v>1176</v>
      </c>
      <c r="C10" s="464"/>
      <c r="D10" s="464"/>
      <c r="E10" s="464"/>
      <c r="F10" s="465"/>
    </row>
    <row r="11" spans="2:9" ht="15" customHeight="1">
      <c r="B11" s="463" t="s">
        <v>1177</v>
      </c>
      <c r="C11" s="465"/>
      <c r="E11" s="463" t="s">
        <v>1178</v>
      </c>
      <c r="F11" s="465"/>
    </row>
    <row r="12" spans="2:9" ht="15" customHeight="1">
      <c r="B12" s="61" t="s">
        <v>1179</v>
      </c>
      <c r="C12" s="61" t="s">
        <v>856</v>
      </c>
      <c r="E12" s="61" t="s">
        <v>1179</v>
      </c>
      <c r="F12" s="61" t="s">
        <v>856</v>
      </c>
      <c r="H12" s="178" t="s">
        <v>1180</v>
      </c>
      <c r="I12" s="195"/>
    </row>
    <row r="13" spans="2:9" ht="15" customHeight="1">
      <c r="B13" s="28">
        <v>0</v>
      </c>
      <c r="C13" s="25">
        <v>0</v>
      </c>
      <c r="E13" s="28">
        <v>0</v>
      </c>
      <c r="F13" s="25">
        <f>+C13*0.25</f>
        <v>0</v>
      </c>
      <c r="H13" s="172"/>
      <c r="I13" s="173" t="s">
        <v>1181</v>
      </c>
    </row>
    <row r="14" spans="2:9" ht="15" customHeight="1">
      <c r="B14" s="30">
        <v>0.04</v>
      </c>
      <c r="C14" s="29">
        <v>1</v>
      </c>
      <c r="E14" s="30">
        <v>0.05</v>
      </c>
      <c r="F14" s="29">
        <v>1</v>
      </c>
      <c r="H14" s="174"/>
      <c r="I14" s="173" t="s">
        <v>1182</v>
      </c>
    </row>
    <row r="15" spans="2:9" ht="15" customHeight="1">
      <c r="B15" s="30">
        <v>0.08</v>
      </c>
      <c r="C15" s="29">
        <v>2</v>
      </c>
      <c r="E15" s="30">
        <v>0.1</v>
      </c>
      <c r="F15" s="29">
        <v>2</v>
      </c>
      <c r="H15" s="175"/>
      <c r="I15" s="176" t="s">
        <v>1183</v>
      </c>
    </row>
    <row r="16" spans="2:9" ht="15" customHeight="1">
      <c r="B16" s="35">
        <v>0.12</v>
      </c>
      <c r="C16" s="29">
        <v>3</v>
      </c>
      <c r="E16" s="30">
        <v>0.15</v>
      </c>
      <c r="F16" s="29">
        <v>3</v>
      </c>
    </row>
    <row r="17" spans="2:6" ht="15" customHeight="1">
      <c r="B17" s="35">
        <v>0.16</v>
      </c>
      <c r="C17" s="29">
        <v>4</v>
      </c>
      <c r="E17" s="30">
        <v>0.2</v>
      </c>
      <c r="F17" s="29">
        <v>4</v>
      </c>
    </row>
    <row r="18" spans="2:6" ht="15" customHeight="1">
      <c r="B18" s="35">
        <v>0.2</v>
      </c>
      <c r="C18" s="29">
        <v>5</v>
      </c>
      <c r="E18" s="30">
        <v>0.25</v>
      </c>
      <c r="F18" s="29">
        <v>5</v>
      </c>
    </row>
    <row r="19" spans="2:6" ht="15" customHeight="1">
      <c r="B19" s="35">
        <v>0.24</v>
      </c>
      <c r="C19" s="29">
        <v>6</v>
      </c>
      <c r="E19" s="31">
        <v>0.3</v>
      </c>
      <c r="F19" s="26">
        <v>6</v>
      </c>
    </row>
    <row r="20" spans="2:6" ht="15" customHeight="1">
      <c r="B20" s="35">
        <v>0.28000000000000003</v>
      </c>
      <c r="C20" s="29">
        <v>7</v>
      </c>
      <c r="E20" s="30">
        <v>0.35</v>
      </c>
      <c r="F20" s="29">
        <v>7</v>
      </c>
    </row>
    <row r="21" spans="2:6" ht="15" customHeight="1">
      <c r="B21" s="31">
        <v>0.32</v>
      </c>
      <c r="C21" s="26">
        <v>8</v>
      </c>
      <c r="E21" s="30">
        <v>0.4</v>
      </c>
      <c r="F21" s="29">
        <v>8</v>
      </c>
    </row>
    <row r="22" spans="2:6" ht="15" customHeight="1">
      <c r="B22" s="35">
        <v>0.36</v>
      </c>
      <c r="C22" s="29">
        <v>9</v>
      </c>
      <c r="E22" s="30">
        <v>0.45</v>
      </c>
      <c r="F22" s="29">
        <v>9</v>
      </c>
    </row>
    <row r="23" spans="2:6" ht="15" customHeight="1">
      <c r="B23" s="35">
        <v>0.4</v>
      </c>
      <c r="C23" s="29">
        <v>10</v>
      </c>
      <c r="E23" s="30">
        <v>0.5</v>
      </c>
      <c r="F23" s="29">
        <v>10</v>
      </c>
    </row>
    <row r="24" spans="2:6" ht="15" customHeight="1">
      <c r="B24" s="35">
        <v>0.44</v>
      </c>
      <c r="C24" s="29">
        <v>11</v>
      </c>
      <c r="E24" s="30">
        <v>0.55000000000000004</v>
      </c>
      <c r="F24" s="29">
        <v>11</v>
      </c>
    </row>
    <row r="25" spans="2:6" ht="15" customHeight="1">
      <c r="B25" s="35">
        <v>0.48</v>
      </c>
      <c r="C25" s="29">
        <v>12</v>
      </c>
      <c r="E25" s="30">
        <v>0.6</v>
      </c>
      <c r="F25" s="29">
        <v>12</v>
      </c>
    </row>
    <row r="26" spans="2:6" ht="15" customHeight="1">
      <c r="B26" s="35">
        <v>0.52</v>
      </c>
      <c r="C26" s="29">
        <v>13</v>
      </c>
      <c r="E26" s="30">
        <v>0.65</v>
      </c>
      <c r="F26" s="29">
        <v>13</v>
      </c>
    </row>
    <row r="27" spans="2:6" ht="15" customHeight="1">
      <c r="B27" s="35">
        <v>0.56000000000000005</v>
      </c>
      <c r="C27" s="29">
        <v>14</v>
      </c>
      <c r="E27" s="30">
        <v>0.7</v>
      </c>
      <c r="F27" s="29">
        <v>14</v>
      </c>
    </row>
    <row r="28" spans="2:6" ht="15" customHeight="1">
      <c r="B28" s="35">
        <v>0.6</v>
      </c>
      <c r="C28" s="29">
        <v>15</v>
      </c>
      <c r="E28" s="30">
        <v>0.75</v>
      </c>
      <c r="F28" s="29">
        <v>15</v>
      </c>
    </row>
    <row r="29" spans="2:6" ht="15" customHeight="1">
      <c r="B29" s="35">
        <v>0.65</v>
      </c>
      <c r="C29" s="29">
        <v>16</v>
      </c>
      <c r="E29" s="30">
        <v>0.8</v>
      </c>
      <c r="F29" s="29">
        <v>16</v>
      </c>
    </row>
    <row r="30" spans="2:6" ht="15" customHeight="1">
      <c r="B30" s="35">
        <v>0.7</v>
      </c>
      <c r="C30" s="29">
        <v>17</v>
      </c>
      <c r="E30" s="30">
        <v>0.85</v>
      </c>
      <c r="F30" s="29">
        <v>17</v>
      </c>
    </row>
    <row r="31" spans="2:6" ht="15" customHeight="1">
      <c r="B31" s="35">
        <v>0.75</v>
      </c>
      <c r="C31" s="29">
        <v>18</v>
      </c>
      <c r="E31" s="30">
        <v>0.9</v>
      </c>
      <c r="F31" s="29">
        <v>18</v>
      </c>
    </row>
    <row r="32" spans="2:6" ht="15" customHeight="1">
      <c r="B32" s="35">
        <v>0.8</v>
      </c>
      <c r="C32" s="29">
        <v>19</v>
      </c>
      <c r="E32" s="30">
        <v>0.95</v>
      </c>
      <c r="F32" s="29">
        <v>19</v>
      </c>
    </row>
    <row r="33" spans="2:6" ht="15" customHeight="1">
      <c r="B33" s="35">
        <v>0.85</v>
      </c>
      <c r="C33" s="29">
        <v>20</v>
      </c>
      <c r="E33" s="33">
        <v>1</v>
      </c>
      <c r="F33" s="27">
        <v>20</v>
      </c>
    </row>
    <row r="34" spans="2:6" ht="15" customHeight="1">
      <c r="B34" s="35">
        <v>0.9</v>
      </c>
      <c r="C34" s="29">
        <v>21</v>
      </c>
    </row>
    <row r="35" spans="2:6" ht="15" customHeight="1">
      <c r="B35" s="35">
        <v>0.95</v>
      </c>
      <c r="C35" s="29">
        <v>22</v>
      </c>
    </row>
    <row r="36" spans="2:6" ht="15" customHeight="1">
      <c r="B36" s="33">
        <v>1</v>
      </c>
      <c r="C36" s="27">
        <v>23</v>
      </c>
      <c r="E36" s="463" t="s">
        <v>1184</v>
      </c>
      <c r="F36" s="465"/>
    </row>
    <row r="37" spans="2:6" ht="35.1" customHeight="1">
      <c r="E37" s="61" t="s">
        <v>1185</v>
      </c>
      <c r="F37" s="61" t="s">
        <v>856</v>
      </c>
    </row>
    <row r="38" spans="2:6" ht="15" customHeight="1">
      <c r="E38" s="32">
        <v>0</v>
      </c>
      <c r="F38" s="29">
        <v>0</v>
      </c>
    </row>
    <row r="39" spans="2:6" ht="15" customHeight="1">
      <c r="E39" s="32">
        <v>0.25</v>
      </c>
      <c r="F39" s="29">
        <v>1</v>
      </c>
    </row>
    <row r="40" spans="2:6" ht="15" customHeight="1">
      <c r="E40" s="32">
        <v>0.5</v>
      </c>
      <c r="F40" s="29">
        <v>2</v>
      </c>
    </row>
    <row r="41" spans="2:6" ht="15" customHeight="1">
      <c r="E41" s="32">
        <v>0.75</v>
      </c>
      <c r="F41" s="29">
        <v>3</v>
      </c>
    </row>
    <row r="42" spans="2:6" ht="15" customHeight="1"/>
    <row r="43" spans="2:6" ht="15" customHeight="1">
      <c r="B43" s="463" t="s">
        <v>1186</v>
      </c>
      <c r="C43" s="464"/>
      <c r="D43" s="464"/>
      <c r="E43" s="464"/>
      <c r="F43" s="465"/>
    </row>
    <row r="44" spans="2:6" ht="15" customHeight="1">
      <c r="B44" s="463" t="s">
        <v>1187</v>
      </c>
      <c r="C44" s="465"/>
      <c r="E44" s="463" t="s">
        <v>1188</v>
      </c>
      <c r="F44" s="465"/>
    </row>
    <row r="45" spans="2:6" ht="35.1" customHeight="1">
      <c r="B45" s="61" t="s">
        <v>1189</v>
      </c>
      <c r="C45" s="61" t="s">
        <v>1190</v>
      </c>
      <c r="E45" s="61" t="s">
        <v>1189</v>
      </c>
      <c r="F45" s="61" t="s">
        <v>1191</v>
      </c>
    </row>
    <row r="46" spans="2:6" ht="15" customHeight="1">
      <c r="B46" s="25">
        <v>1</v>
      </c>
      <c r="C46" s="25">
        <v>0</v>
      </c>
      <c r="E46" s="25">
        <v>1</v>
      </c>
      <c r="F46" s="25">
        <v>0</v>
      </c>
    </row>
    <row r="47" spans="2:6" ht="15" customHeight="1">
      <c r="B47" s="29">
        <v>1.5</v>
      </c>
      <c r="C47" s="29">
        <v>1</v>
      </c>
      <c r="E47" s="29">
        <v>1.5</v>
      </c>
      <c r="F47" s="29">
        <v>1</v>
      </c>
    </row>
    <row r="48" spans="2:6" ht="15" customHeight="1">
      <c r="B48" s="29">
        <v>2</v>
      </c>
      <c r="C48" s="29">
        <v>2</v>
      </c>
      <c r="E48" s="29">
        <v>2</v>
      </c>
      <c r="F48" s="29">
        <v>2</v>
      </c>
    </row>
    <row r="49" spans="2:6" ht="15" customHeight="1">
      <c r="B49" s="29">
        <v>2.5</v>
      </c>
      <c r="C49" s="29">
        <v>3</v>
      </c>
      <c r="E49" s="29">
        <v>2.5</v>
      </c>
      <c r="F49" s="29">
        <v>3</v>
      </c>
    </row>
    <row r="50" spans="2:6" ht="15" customHeight="1">
      <c r="B50" s="26">
        <v>3</v>
      </c>
      <c r="C50" s="26">
        <v>5</v>
      </c>
      <c r="E50" s="26">
        <v>3</v>
      </c>
      <c r="F50" s="26">
        <v>4</v>
      </c>
    </row>
    <row r="51" spans="2:6" ht="15" customHeight="1">
      <c r="B51" s="29">
        <v>3.5</v>
      </c>
      <c r="C51" s="29">
        <v>7</v>
      </c>
      <c r="E51" s="29">
        <v>3.5</v>
      </c>
      <c r="F51" s="29">
        <v>6</v>
      </c>
    </row>
    <row r="52" spans="2:6" ht="15" customHeight="1">
      <c r="B52" s="29">
        <v>4</v>
      </c>
      <c r="C52" s="29">
        <v>9</v>
      </c>
      <c r="E52" s="29">
        <v>4</v>
      </c>
      <c r="F52" s="29">
        <v>8</v>
      </c>
    </row>
    <row r="53" spans="2:6" ht="15" customHeight="1">
      <c r="B53" s="29">
        <v>4.5</v>
      </c>
      <c r="C53" s="29">
        <v>11</v>
      </c>
      <c r="E53" s="29">
        <v>4.5</v>
      </c>
      <c r="F53" s="29">
        <v>10</v>
      </c>
    </row>
    <row r="54" spans="2:6" ht="15" customHeight="1">
      <c r="B54" s="29">
        <v>5</v>
      </c>
      <c r="C54" s="29">
        <v>14</v>
      </c>
      <c r="E54" s="29">
        <v>5</v>
      </c>
      <c r="F54" s="29">
        <v>12</v>
      </c>
    </row>
    <row r="55" spans="2:6" ht="15" customHeight="1">
      <c r="B55" s="29">
        <v>5.5</v>
      </c>
      <c r="C55" s="29">
        <v>17</v>
      </c>
      <c r="E55" s="29">
        <v>5.5</v>
      </c>
      <c r="F55" s="29">
        <v>14</v>
      </c>
    </row>
    <row r="56" spans="2:6" ht="15" customHeight="1">
      <c r="B56" s="29">
        <v>6</v>
      </c>
      <c r="C56" s="29">
        <v>20</v>
      </c>
      <c r="E56" s="29">
        <v>6</v>
      </c>
      <c r="F56" s="29">
        <v>16</v>
      </c>
    </row>
    <row r="57" spans="2:6" ht="15" customHeight="1">
      <c r="B57" s="27" t="s">
        <v>1192</v>
      </c>
      <c r="C57" s="27">
        <v>23</v>
      </c>
      <c r="E57" s="27" t="s">
        <v>1192</v>
      </c>
      <c r="F57" s="27">
        <v>20</v>
      </c>
    </row>
  </sheetData>
  <sheetProtection algorithmName="SHA-512" hashValue="s8Eh+NAcK8MmfwfeGd1Vo88TAxj3XUB5OPh0uZ5dpH488p5eEZpyWiJ3AYO4VbHpL0gK2ReHRHwf5eFzB/K+yg==" saltValue="h5JvJSAu0/bo44zUoqCssw==" spinCount="100000" sheet="1" objects="1" scenarios="1"/>
  <customSheetViews>
    <customSheetView guid="{8B2770CE-D161-47F0-859F-125AE657BDD5}" showGridLines="0" showRowCol="0" fitToPage="1" hiddenRows="1">
      <selection activeCell="H21" sqref="H21"/>
      <pageMargins left="0" right="0" top="0" bottom="0" header="0" footer="0"/>
      <pageSetup paperSize="9" scale="59" orientation="portrait" r:id="rId1"/>
    </customSheetView>
    <customSheetView guid="{693EBD7D-AE81-4642-BB20-D90B339CE02F}" showGridLines="0" fitToPage="1" hiddenRows="1" hiddenColumns="1" topLeftCell="A28">
      <selection activeCell="F23" sqref="F23"/>
      <pageMargins left="0" right="0" top="0" bottom="0" header="0" footer="0"/>
      <pageSetup paperSize="9" scale="59" orientation="portrait" r:id="rId2"/>
    </customSheetView>
    <customSheetView guid="{E06C82F7-4BAD-4D00-99B9-78356C6407C1}" showGridLines="0" fitToPage="1" hiddenRows="1" hiddenColumns="1">
      <selection activeCell="G40" sqref="G40"/>
      <pageMargins left="0" right="0" top="0" bottom="0" header="0" footer="0"/>
      <pageSetup paperSize="9" scale="59" orientation="portrait" r:id="rId3"/>
    </customSheetView>
    <customSheetView guid="{F1CAFB27-0D4C-4982-A367-458EC793250D}" showGridLines="0" fitToPage="1" hiddenRows="1" hiddenColumns="1">
      <selection activeCell="B11" sqref="B11"/>
      <pageMargins left="0" right="0" top="0" bottom="0" header="0" footer="0"/>
      <pageSetup paperSize="9" scale="59" orientation="portrait" r:id="rId4"/>
    </customSheetView>
    <customSheetView guid="{0AA775FA-F8A9-4D24-AA12-2EE4A0C4B54A}" showGridLines="0" fitToPage="1" hiddenRows="1" hiddenColumns="1" topLeftCell="A25">
      <selection activeCell="B11" sqref="B11"/>
      <pageMargins left="0" right="0" top="0" bottom="0" header="0" footer="0"/>
      <pageSetup paperSize="9" scale="59" orientation="portrait" r:id="rId5"/>
    </customSheetView>
  </customSheetViews>
  <mergeCells count="7">
    <mergeCell ref="B44:C44"/>
    <mergeCell ref="E44:F44"/>
    <mergeCell ref="E36:F36"/>
    <mergeCell ref="B10:F10"/>
    <mergeCell ref="B11:C11"/>
    <mergeCell ref="E11:F11"/>
    <mergeCell ref="B43:F43"/>
  </mergeCells>
  <pageMargins left="0.70866141732283472" right="0.70866141732283472" top="0.74803149606299213" bottom="0.74803149606299213" header="0.31496062992125984" footer="0.31496062992125984"/>
  <pageSetup paperSize="9" scale="59" orientation="portrait" r:id="rId6"/>
  <drawing r:id="rId7"/>
  <legacyDrawing r:id="rId8"/>
  <legacyDrawingHF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2:K449"/>
  <sheetViews>
    <sheetView showGridLines="0" topLeftCell="A443" zoomScale="85" zoomScaleNormal="85" workbookViewId="0">
      <selection activeCell="D7" sqref="B6:H19"/>
    </sheetView>
  </sheetViews>
  <sheetFormatPr defaultColWidth="9.28515625" defaultRowHeight="13.15"/>
  <cols>
    <col min="1" max="1" width="4.7109375" style="167" customWidth="1"/>
    <col min="2" max="2" width="27.7109375" style="169" customWidth="1"/>
    <col min="3" max="3" width="20.42578125" style="169" bestFit="1" customWidth="1"/>
    <col min="4" max="4" width="15.28515625" style="169" bestFit="1" customWidth="1"/>
    <col min="5" max="5" width="9.5703125" style="169" bestFit="1" customWidth="1"/>
    <col min="6" max="6" width="9.28515625" style="169" bestFit="1" customWidth="1"/>
    <col min="7" max="7" width="26.7109375" style="169" bestFit="1" customWidth="1"/>
    <col min="8" max="8" width="17.28515625" style="169" bestFit="1" customWidth="1"/>
    <col min="9" max="11" width="50.7109375" style="169" customWidth="1"/>
    <col min="12" max="16384" width="9.28515625" style="167"/>
  </cols>
  <sheetData>
    <row r="2" spans="2:8" s="41" customFormat="1" ht="72.75" customHeight="1">
      <c r="B2" s="369" t="s">
        <v>1</v>
      </c>
      <c r="C2" s="369"/>
      <c r="D2" s="369"/>
      <c r="E2" s="369"/>
      <c r="F2" s="369"/>
      <c r="G2" s="369"/>
      <c r="H2" s="369"/>
    </row>
    <row r="3" spans="2:8" s="41" customFormat="1" ht="22.5" customHeight="1">
      <c r="B3" s="42"/>
      <c r="C3" s="42"/>
      <c r="D3" s="42"/>
    </row>
    <row r="4" spans="2:8" s="41" customFormat="1" ht="33.75" customHeight="1">
      <c r="B4" s="43" t="s">
        <v>2</v>
      </c>
      <c r="C4" s="44"/>
      <c r="D4" s="44"/>
      <c r="E4" s="148"/>
      <c r="F4" s="148"/>
      <c r="G4" s="148"/>
      <c r="H4" s="148"/>
    </row>
    <row r="5" spans="2:8" s="41" customFormat="1" ht="30" customHeight="1">
      <c r="B5" s="45"/>
      <c r="C5" s="46"/>
      <c r="D5" s="46"/>
    </row>
    <row r="6" spans="2:8" s="41" customFormat="1" ht="30" customHeight="1">
      <c r="B6" s="355"/>
      <c r="C6" s="356" t="s">
        <v>3</v>
      </c>
      <c r="D6" s="373" t="s">
        <v>4</v>
      </c>
      <c r="E6" s="374"/>
      <c r="F6" s="374"/>
      <c r="G6" s="374"/>
      <c r="H6" s="375"/>
    </row>
    <row r="7" spans="2:8" s="41" customFormat="1" ht="34.15" customHeight="1">
      <c r="B7" s="370" t="s">
        <v>5</v>
      </c>
      <c r="C7" s="357" t="s">
        <v>6</v>
      </c>
      <c r="D7" s="366" t="s">
        <v>7</v>
      </c>
      <c r="E7" s="367"/>
      <c r="F7" s="367"/>
      <c r="G7" s="367"/>
      <c r="H7" s="368"/>
    </row>
    <row r="8" spans="2:8" s="41" customFormat="1" ht="54" customHeight="1">
      <c r="B8" s="379"/>
      <c r="C8" s="357" t="s">
        <v>8</v>
      </c>
      <c r="D8" s="366" t="s">
        <v>9</v>
      </c>
      <c r="E8" s="367"/>
      <c r="F8" s="367"/>
      <c r="G8" s="367"/>
      <c r="H8" s="368"/>
    </row>
    <row r="9" spans="2:8" s="41" customFormat="1" ht="30" customHeight="1">
      <c r="B9" s="379"/>
      <c r="C9" s="357" t="s">
        <v>10</v>
      </c>
      <c r="D9" s="366" t="s">
        <v>11</v>
      </c>
      <c r="E9" s="367"/>
      <c r="F9" s="367"/>
      <c r="G9" s="367"/>
      <c r="H9" s="368"/>
    </row>
    <row r="10" spans="2:8" s="41" customFormat="1" ht="37.5" customHeight="1">
      <c r="B10" s="379"/>
      <c r="C10" s="357" t="s">
        <v>12</v>
      </c>
      <c r="D10" s="366" t="s">
        <v>13</v>
      </c>
      <c r="E10" s="367"/>
      <c r="F10" s="367"/>
      <c r="G10" s="367"/>
      <c r="H10" s="368"/>
    </row>
    <row r="11" spans="2:8" s="41" customFormat="1" ht="42.75" customHeight="1">
      <c r="B11" s="379"/>
      <c r="C11" s="357" t="s">
        <v>14</v>
      </c>
      <c r="D11" s="366" t="s">
        <v>15</v>
      </c>
      <c r="E11" s="367"/>
      <c r="F11" s="367"/>
      <c r="G11" s="367"/>
      <c r="H11" s="368"/>
    </row>
    <row r="12" spans="2:8" s="41" customFormat="1" ht="30" customHeight="1">
      <c r="B12" s="379"/>
      <c r="C12" s="357" t="s">
        <v>16</v>
      </c>
      <c r="D12" s="366" t="s">
        <v>17</v>
      </c>
      <c r="E12" s="367"/>
      <c r="F12" s="367"/>
      <c r="G12" s="367"/>
      <c r="H12" s="368"/>
    </row>
    <row r="13" spans="2:8" s="41" customFormat="1" ht="66.75" customHeight="1">
      <c r="B13" s="379"/>
      <c r="C13" s="357" t="s">
        <v>18</v>
      </c>
      <c r="D13" s="366" t="s">
        <v>19</v>
      </c>
      <c r="E13" s="367"/>
      <c r="F13" s="367"/>
      <c r="G13" s="367"/>
      <c r="H13" s="368"/>
    </row>
    <row r="14" spans="2:8" s="41" customFormat="1" ht="60.75" customHeight="1">
      <c r="B14" s="379"/>
      <c r="C14" s="357" t="s">
        <v>20</v>
      </c>
      <c r="D14" s="366" t="s">
        <v>21</v>
      </c>
      <c r="E14" s="367"/>
      <c r="F14" s="367"/>
      <c r="G14" s="367"/>
      <c r="H14" s="368"/>
    </row>
    <row r="15" spans="2:8" s="41" customFormat="1" ht="45.75" customHeight="1">
      <c r="B15" s="371"/>
      <c r="C15" s="357" t="s">
        <v>22</v>
      </c>
      <c r="D15" s="366" t="s">
        <v>23</v>
      </c>
      <c r="E15" s="367"/>
      <c r="F15" s="367"/>
      <c r="G15" s="367"/>
      <c r="H15" s="368"/>
    </row>
    <row r="16" spans="2:8" s="41" customFormat="1" ht="35.25" customHeight="1">
      <c r="B16" s="370" t="s">
        <v>24</v>
      </c>
      <c r="C16" s="357" t="s">
        <v>25</v>
      </c>
      <c r="D16" s="366" t="s">
        <v>26</v>
      </c>
      <c r="E16" s="367"/>
      <c r="F16" s="367"/>
      <c r="G16" s="367"/>
      <c r="H16" s="368"/>
    </row>
    <row r="17" spans="1:11" s="41" customFormat="1" ht="60" customHeight="1">
      <c r="B17" s="371"/>
      <c r="C17" s="357" t="s">
        <v>27</v>
      </c>
      <c r="D17" s="366" t="s">
        <v>28</v>
      </c>
      <c r="E17" s="367"/>
      <c r="F17" s="367"/>
      <c r="G17" s="367"/>
      <c r="H17" s="368"/>
      <c r="I17" s="86"/>
      <c r="J17" s="86"/>
    </row>
    <row r="18" spans="1:11" s="41" customFormat="1" ht="52.5" customHeight="1">
      <c r="B18" s="370" t="s">
        <v>29</v>
      </c>
      <c r="C18" s="357" t="s">
        <v>30</v>
      </c>
      <c r="D18" s="366" t="s">
        <v>31</v>
      </c>
      <c r="E18" s="367"/>
      <c r="F18" s="367"/>
      <c r="G18" s="367"/>
      <c r="H18" s="368"/>
      <c r="I18" s="86"/>
      <c r="J18" s="86"/>
    </row>
    <row r="19" spans="1:11" s="41" customFormat="1" ht="27.75" customHeight="1">
      <c r="B19" s="371"/>
      <c r="C19" s="357" t="s">
        <v>32</v>
      </c>
      <c r="D19" s="376" t="s">
        <v>33</v>
      </c>
      <c r="E19" s="377"/>
      <c r="F19" s="377"/>
      <c r="G19" s="377"/>
      <c r="H19" s="378"/>
      <c r="I19" s="87"/>
      <c r="J19" s="87"/>
    </row>
    <row r="20" spans="1:11" s="41" customFormat="1" ht="13.9"/>
    <row r="21" spans="1:11" s="41" customFormat="1" ht="13.9"/>
    <row r="22" spans="1:11" s="41" customFormat="1" ht="13.9"/>
    <row r="23" spans="1:11" s="41" customFormat="1" ht="36.75" customHeight="1">
      <c r="A23" s="147" t="s">
        <v>34</v>
      </c>
      <c r="B23" s="372" t="s">
        <v>35</v>
      </c>
      <c r="C23" s="372"/>
      <c r="D23" s="372"/>
      <c r="E23" s="372"/>
      <c r="F23" s="372"/>
      <c r="G23" s="372"/>
      <c r="H23" s="372"/>
      <c r="I23" s="372"/>
      <c r="J23" s="83"/>
      <c r="K23" s="83"/>
    </row>
    <row r="24" spans="1:11" s="41" customFormat="1" ht="13.9">
      <c r="A24" s="147" t="s">
        <v>34</v>
      </c>
      <c r="B24" s="84" t="s">
        <v>36</v>
      </c>
      <c r="C24" s="85" t="s">
        <v>37</v>
      </c>
      <c r="D24" s="85" t="s">
        <v>38</v>
      </c>
      <c r="E24" s="85" t="s">
        <v>39</v>
      </c>
      <c r="F24" s="85" t="s">
        <v>40</v>
      </c>
      <c r="G24" s="85" t="s">
        <v>41</v>
      </c>
      <c r="H24" s="85" t="s">
        <v>42</v>
      </c>
      <c r="I24" s="84" t="s">
        <v>43</v>
      </c>
      <c r="J24" s="84" t="s">
        <v>44</v>
      </c>
      <c r="K24" s="84" t="s">
        <v>45</v>
      </c>
    </row>
    <row r="25" spans="1:11" ht="39.6" hidden="1">
      <c r="A25" s="169" t="s">
        <v>34</v>
      </c>
      <c r="B25" s="149" t="s">
        <v>46</v>
      </c>
      <c r="C25" s="150">
        <v>43017</v>
      </c>
      <c r="D25" s="149" t="s">
        <v>47</v>
      </c>
      <c r="E25" s="149" t="s">
        <v>48</v>
      </c>
      <c r="F25" s="149" t="s">
        <v>47</v>
      </c>
      <c r="G25" s="149" t="s">
        <v>49</v>
      </c>
      <c r="H25" s="149" t="s">
        <v>50</v>
      </c>
      <c r="I25" s="151" t="s">
        <v>51</v>
      </c>
      <c r="J25" s="149"/>
      <c r="K25" s="151" t="s">
        <v>52</v>
      </c>
    </row>
    <row r="26" spans="1:11" hidden="1">
      <c r="A26" s="169" t="s">
        <v>34</v>
      </c>
      <c r="B26" s="149" t="s">
        <v>46</v>
      </c>
      <c r="C26" s="150">
        <v>43004</v>
      </c>
      <c r="D26" s="129" t="s">
        <v>47</v>
      </c>
      <c r="E26" s="129" t="s">
        <v>48</v>
      </c>
      <c r="F26" s="149" t="s">
        <v>47</v>
      </c>
      <c r="G26" s="129" t="s">
        <v>53</v>
      </c>
      <c r="H26" s="129" t="s">
        <v>54</v>
      </c>
      <c r="I26" s="130"/>
      <c r="J26" s="130"/>
      <c r="K26" s="130" t="s">
        <v>55</v>
      </c>
    </row>
    <row r="27" spans="1:11" hidden="1">
      <c r="A27" s="169" t="s">
        <v>34</v>
      </c>
      <c r="B27" s="149" t="s">
        <v>46</v>
      </c>
      <c r="C27" s="150">
        <v>43004</v>
      </c>
      <c r="D27" s="149" t="s">
        <v>56</v>
      </c>
      <c r="E27" s="149" t="s">
        <v>47</v>
      </c>
      <c r="F27" s="149" t="s">
        <v>47</v>
      </c>
      <c r="G27" s="149" t="s">
        <v>57</v>
      </c>
      <c r="H27" s="149" t="s">
        <v>58</v>
      </c>
      <c r="I27" s="149" t="s">
        <v>59</v>
      </c>
      <c r="J27" s="149"/>
      <c r="K27" s="149" t="s">
        <v>60</v>
      </c>
    </row>
    <row r="28" spans="1:11" hidden="1">
      <c r="A28" s="169" t="s">
        <v>34</v>
      </c>
      <c r="B28" s="149" t="s">
        <v>46</v>
      </c>
      <c r="C28" s="150">
        <v>43004</v>
      </c>
      <c r="D28" s="149" t="s">
        <v>56</v>
      </c>
      <c r="E28" s="149" t="s">
        <v>47</v>
      </c>
      <c r="F28" s="149" t="s">
        <v>47</v>
      </c>
      <c r="G28" s="149" t="s">
        <v>57</v>
      </c>
      <c r="H28" s="149" t="s">
        <v>61</v>
      </c>
      <c r="I28" s="149" t="s">
        <v>59</v>
      </c>
      <c r="J28" s="149"/>
      <c r="K28" s="149" t="s">
        <v>60</v>
      </c>
    </row>
    <row r="29" spans="1:11" hidden="1">
      <c r="A29" s="169" t="s">
        <v>34</v>
      </c>
      <c r="B29" s="149" t="s">
        <v>46</v>
      </c>
      <c r="C29" s="150">
        <v>43004</v>
      </c>
      <c r="D29" s="149" t="s">
        <v>56</v>
      </c>
      <c r="E29" s="149" t="s">
        <v>47</v>
      </c>
      <c r="F29" s="149" t="s">
        <v>47</v>
      </c>
      <c r="G29" s="149" t="s">
        <v>57</v>
      </c>
      <c r="H29" s="149" t="s">
        <v>62</v>
      </c>
      <c r="I29" s="149" t="s">
        <v>59</v>
      </c>
      <c r="J29" s="149"/>
      <c r="K29" s="149" t="s">
        <v>60</v>
      </c>
    </row>
    <row r="30" spans="1:11" hidden="1">
      <c r="A30" s="169" t="s">
        <v>34</v>
      </c>
      <c r="B30" s="149" t="s">
        <v>46</v>
      </c>
      <c r="C30" s="150">
        <v>43004</v>
      </c>
      <c r="D30" s="149" t="s">
        <v>56</v>
      </c>
      <c r="E30" s="149" t="s">
        <v>47</v>
      </c>
      <c r="F30" s="149" t="s">
        <v>47</v>
      </c>
      <c r="G30" s="149" t="s">
        <v>57</v>
      </c>
      <c r="H30" s="149" t="s">
        <v>63</v>
      </c>
      <c r="I30" s="149" t="s">
        <v>59</v>
      </c>
      <c r="J30" s="149"/>
      <c r="K30" s="149" t="s">
        <v>60</v>
      </c>
    </row>
    <row r="31" spans="1:11" hidden="1">
      <c r="A31" s="169" t="s">
        <v>34</v>
      </c>
      <c r="B31" s="149" t="s">
        <v>46</v>
      </c>
      <c r="C31" s="150">
        <v>43004</v>
      </c>
      <c r="D31" s="149" t="s">
        <v>56</v>
      </c>
      <c r="E31" s="149" t="s">
        <v>47</v>
      </c>
      <c r="F31" s="149" t="s">
        <v>47</v>
      </c>
      <c r="G31" s="149" t="s">
        <v>57</v>
      </c>
      <c r="H31" s="149" t="s">
        <v>64</v>
      </c>
      <c r="I31" s="149" t="s">
        <v>59</v>
      </c>
      <c r="J31" s="149"/>
      <c r="K31" s="149" t="s">
        <v>60</v>
      </c>
    </row>
    <row r="32" spans="1:11" hidden="1">
      <c r="A32" s="169" t="s">
        <v>34</v>
      </c>
      <c r="B32" s="149" t="s">
        <v>65</v>
      </c>
      <c r="C32" s="150">
        <v>43196</v>
      </c>
      <c r="D32" s="149" t="s">
        <v>47</v>
      </c>
      <c r="E32" s="149"/>
      <c r="F32" s="149"/>
      <c r="G32" s="129" t="s">
        <v>66</v>
      </c>
      <c r="H32" s="129" t="s">
        <v>67</v>
      </c>
      <c r="I32" s="129" t="s">
        <v>68</v>
      </c>
      <c r="J32" s="129" t="s">
        <v>69</v>
      </c>
      <c r="K32" s="149" t="s">
        <v>70</v>
      </c>
    </row>
    <row r="33" spans="1:11" ht="26.45" hidden="1">
      <c r="A33" s="169" t="s">
        <v>34</v>
      </c>
      <c r="B33" s="149" t="s">
        <v>65</v>
      </c>
      <c r="C33" s="150">
        <v>43196</v>
      </c>
      <c r="D33" s="149" t="s">
        <v>47</v>
      </c>
      <c r="E33" s="149" t="s">
        <v>71</v>
      </c>
      <c r="F33" s="149" t="s">
        <v>71</v>
      </c>
      <c r="G33" s="129" t="s">
        <v>66</v>
      </c>
      <c r="H33" s="129" t="s">
        <v>72</v>
      </c>
      <c r="I33" s="129" t="s">
        <v>73</v>
      </c>
      <c r="J33" s="130" t="s">
        <v>74</v>
      </c>
      <c r="K33" s="149" t="s">
        <v>70</v>
      </c>
    </row>
    <row r="34" spans="1:11" hidden="1">
      <c r="A34" s="169" t="s">
        <v>34</v>
      </c>
      <c r="B34" s="149" t="s">
        <v>65</v>
      </c>
      <c r="C34" s="150">
        <v>43196</v>
      </c>
      <c r="D34" s="149" t="s">
        <v>47</v>
      </c>
      <c r="E34" s="149" t="s">
        <v>71</v>
      </c>
      <c r="F34" s="149" t="s">
        <v>71</v>
      </c>
      <c r="G34" s="129" t="s">
        <v>66</v>
      </c>
      <c r="H34" s="129" t="s">
        <v>75</v>
      </c>
      <c r="I34" s="129" t="s">
        <v>59</v>
      </c>
      <c r="J34" s="129" t="s">
        <v>69</v>
      </c>
      <c r="K34" s="149" t="s">
        <v>70</v>
      </c>
    </row>
    <row r="35" spans="1:11" hidden="1">
      <c r="A35" s="169" t="s">
        <v>34</v>
      </c>
      <c r="B35" s="149" t="s">
        <v>65</v>
      </c>
      <c r="C35" s="150">
        <v>43196</v>
      </c>
      <c r="D35" s="149" t="s">
        <v>47</v>
      </c>
      <c r="E35" s="149" t="s">
        <v>71</v>
      </c>
      <c r="F35" s="149" t="s">
        <v>47</v>
      </c>
      <c r="G35" s="129" t="s">
        <v>66</v>
      </c>
      <c r="H35" s="129" t="s">
        <v>76</v>
      </c>
      <c r="I35" s="129" t="s">
        <v>59</v>
      </c>
      <c r="J35" s="129" t="s">
        <v>69</v>
      </c>
      <c r="K35" s="149" t="s">
        <v>77</v>
      </c>
    </row>
    <row r="36" spans="1:11" hidden="1">
      <c r="A36" s="169" t="s">
        <v>34</v>
      </c>
      <c r="B36" s="149" t="s">
        <v>65</v>
      </c>
      <c r="C36" s="150">
        <v>43196</v>
      </c>
      <c r="D36" s="149" t="s">
        <v>47</v>
      </c>
      <c r="E36" s="149" t="s">
        <v>71</v>
      </c>
      <c r="F36" s="149" t="s">
        <v>71</v>
      </c>
      <c r="G36" s="129" t="s">
        <v>49</v>
      </c>
      <c r="H36" s="129" t="s">
        <v>67</v>
      </c>
      <c r="I36" s="130" t="s">
        <v>78</v>
      </c>
      <c r="J36" s="129" t="s">
        <v>69</v>
      </c>
      <c r="K36" s="149" t="s">
        <v>79</v>
      </c>
    </row>
    <row r="37" spans="1:11" ht="26.45" hidden="1">
      <c r="A37" s="169" t="s">
        <v>34</v>
      </c>
      <c r="B37" s="149" t="s">
        <v>65</v>
      </c>
      <c r="C37" s="150">
        <v>43196</v>
      </c>
      <c r="D37" s="149" t="s">
        <v>47</v>
      </c>
      <c r="E37" s="149" t="s">
        <v>71</v>
      </c>
      <c r="F37" s="149" t="s">
        <v>71</v>
      </c>
      <c r="G37" s="129" t="s">
        <v>49</v>
      </c>
      <c r="H37" s="129" t="s">
        <v>72</v>
      </c>
      <c r="I37" s="130" t="s">
        <v>80</v>
      </c>
      <c r="J37" s="130" t="s">
        <v>74</v>
      </c>
      <c r="K37" s="149" t="s">
        <v>79</v>
      </c>
    </row>
    <row r="38" spans="1:11" hidden="1">
      <c r="A38" s="169" t="s">
        <v>34</v>
      </c>
      <c r="B38" s="149" t="s">
        <v>65</v>
      </c>
      <c r="C38" s="150">
        <v>43196</v>
      </c>
      <c r="D38" s="149" t="s">
        <v>47</v>
      </c>
      <c r="E38" s="149" t="s">
        <v>71</v>
      </c>
      <c r="F38" s="149" t="s">
        <v>71</v>
      </c>
      <c r="G38" s="129" t="s">
        <v>49</v>
      </c>
      <c r="H38" s="129" t="s">
        <v>81</v>
      </c>
      <c r="I38" s="129" t="s">
        <v>59</v>
      </c>
      <c r="J38" s="129" t="s">
        <v>69</v>
      </c>
      <c r="K38" s="149" t="s">
        <v>70</v>
      </c>
    </row>
    <row r="39" spans="1:11" hidden="1">
      <c r="A39" s="169" t="s">
        <v>34</v>
      </c>
      <c r="B39" s="149" t="s">
        <v>65</v>
      </c>
      <c r="C39" s="150">
        <v>43196</v>
      </c>
      <c r="D39" s="149" t="s">
        <v>47</v>
      </c>
      <c r="E39" s="149" t="s">
        <v>71</v>
      </c>
      <c r="F39" s="149" t="s">
        <v>71</v>
      </c>
      <c r="G39" s="129" t="s">
        <v>49</v>
      </c>
      <c r="H39" s="129" t="s">
        <v>82</v>
      </c>
      <c r="I39" s="129" t="s">
        <v>59</v>
      </c>
      <c r="J39" s="129" t="s">
        <v>69</v>
      </c>
      <c r="K39" s="149" t="s">
        <v>83</v>
      </c>
    </row>
    <row r="40" spans="1:11" hidden="1">
      <c r="A40" s="169" t="s">
        <v>34</v>
      </c>
      <c r="B40" s="149" t="s">
        <v>65</v>
      </c>
      <c r="C40" s="150">
        <v>43196</v>
      </c>
      <c r="D40" s="149" t="s">
        <v>47</v>
      </c>
      <c r="E40" s="149" t="s">
        <v>71</v>
      </c>
      <c r="F40" s="149" t="s">
        <v>47</v>
      </c>
      <c r="G40" s="129" t="s">
        <v>49</v>
      </c>
      <c r="H40" s="129" t="s">
        <v>84</v>
      </c>
      <c r="I40" s="129" t="s">
        <v>59</v>
      </c>
      <c r="J40" s="129" t="s">
        <v>69</v>
      </c>
      <c r="K40" s="149" t="s">
        <v>77</v>
      </c>
    </row>
    <row r="41" spans="1:11" hidden="1">
      <c r="A41" s="169" t="s">
        <v>34</v>
      </c>
      <c r="B41" s="149" t="s">
        <v>65</v>
      </c>
      <c r="C41" s="150">
        <v>43196</v>
      </c>
      <c r="D41" s="149" t="s">
        <v>47</v>
      </c>
      <c r="E41" s="149" t="s">
        <v>71</v>
      </c>
      <c r="F41" s="149" t="s">
        <v>71</v>
      </c>
      <c r="G41" s="129" t="s">
        <v>85</v>
      </c>
      <c r="H41" s="129" t="s">
        <v>86</v>
      </c>
      <c r="I41" s="129" t="s">
        <v>86</v>
      </c>
      <c r="J41" s="129"/>
      <c r="K41" s="130" t="s">
        <v>87</v>
      </c>
    </row>
    <row r="42" spans="1:11" hidden="1">
      <c r="A42" s="169" t="s">
        <v>34</v>
      </c>
      <c r="B42" s="149" t="s">
        <v>65</v>
      </c>
      <c r="C42" s="150">
        <v>43234</v>
      </c>
      <c r="D42" s="149" t="s">
        <v>71</v>
      </c>
      <c r="E42" s="149" t="s">
        <v>47</v>
      </c>
      <c r="F42" s="149" t="s">
        <v>47</v>
      </c>
      <c r="G42" s="129" t="s">
        <v>66</v>
      </c>
      <c r="H42" s="129" t="s">
        <v>88</v>
      </c>
      <c r="I42" s="129" t="s">
        <v>89</v>
      </c>
      <c r="J42" s="129" t="s">
        <v>90</v>
      </c>
      <c r="K42" s="149" t="s">
        <v>91</v>
      </c>
    </row>
    <row r="43" spans="1:11" hidden="1">
      <c r="A43" s="169" t="s">
        <v>34</v>
      </c>
      <c r="B43" s="149" t="s">
        <v>65</v>
      </c>
      <c r="C43" s="150">
        <v>43234</v>
      </c>
      <c r="D43" s="149" t="s">
        <v>71</v>
      </c>
      <c r="E43" s="149" t="s">
        <v>47</v>
      </c>
      <c r="F43" s="149" t="s">
        <v>47</v>
      </c>
      <c r="G43" s="129" t="s">
        <v>66</v>
      </c>
      <c r="H43" s="129" t="s">
        <v>92</v>
      </c>
      <c r="I43" s="129" t="s">
        <v>93</v>
      </c>
      <c r="J43" s="129" t="s">
        <v>94</v>
      </c>
      <c r="K43" s="149" t="s">
        <v>91</v>
      </c>
    </row>
    <row r="44" spans="1:11" hidden="1">
      <c r="A44" s="169" t="s">
        <v>34</v>
      </c>
      <c r="B44" s="149" t="s">
        <v>65</v>
      </c>
      <c r="C44" s="150">
        <v>43234</v>
      </c>
      <c r="D44" s="149" t="s">
        <v>71</v>
      </c>
      <c r="E44" s="149" t="s">
        <v>47</v>
      </c>
      <c r="F44" s="149" t="s">
        <v>47</v>
      </c>
      <c r="G44" s="129" t="s">
        <v>66</v>
      </c>
      <c r="H44" s="129" t="s">
        <v>95</v>
      </c>
      <c r="I44" s="129" t="s">
        <v>96</v>
      </c>
      <c r="J44" s="129" t="s">
        <v>97</v>
      </c>
      <c r="K44" s="149" t="s">
        <v>91</v>
      </c>
    </row>
    <row r="45" spans="1:11" hidden="1">
      <c r="A45" s="169" t="s">
        <v>34</v>
      </c>
      <c r="B45" s="149" t="s">
        <v>65</v>
      </c>
      <c r="C45" s="150">
        <v>43234</v>
      </c>
      <c r="D45" s="149" t="s">
        <v>71</v>
      </c>
      <c r="E45" s="149" t="s">
        <v>47</v>
      </c>
      <c r="F45" s="149" t="s">
        <v>47</v>
      </c>
      <c r="G45" s="129" t="s">
        <v>49</v>
      </c>
      <c r="H45" s="129" t="s">
        <v>88</v>
      </c>
      <c r="I45" s="129" t="s">
        <v>89</v>
      </c>
      <c r="J45" s="129" t="s">
        <v>90</v>
      </c>
      <c r="K45" s="149" t="s">
        <v>91</v>
      </c>
    </row>
    <row r="46" spans="1:11" hidden="1">
      <c r="A46" s="169" t="s">
        <v>34</v>
      </c>
      <c r="B46" s="149" t="s">
        <v>65</v>
      </c>
      <c r="C46" s="150">
        <v>43234</v>
      </c>
      <c r="D46" s="149" t="s">
        <v>71</v>
      </c>
      <c r="E46" s="149" t="s">
        <v>47</v>
      </c>
      <c r="F46" s="149" t="s">
        <v>47</v>
      </c>
      <c r="G46" s="129" t="s">
        <v>49</v>
      </c>
      <c r="H46" s="129" t="s">
        <v>92</v>
      </c>
      <c r="I46" s="129" t="s">
        <v>93</v>
      </c>
      <c r="J46" s="129" t="s">
        <v>94</v>
      </c>
      <c r="K46" s="149" t="s">
        <v>91</v>
      </c>
    </row>
    <row r="47" spans="1:11" hidden="1">
      <c r="A47" s="169" t="s">
        <v>34</v>
      </c>
      <c r="B47" s="149" t="s">
        <v>65</v>
      </c>
      <c r="C47" s="150">
        <v>43234</v>
      </c>
      <c r="D47" s="149" t="s">
        <v>71</v>
      </c>
      <c r="E47" s="149" t="s">
        <v>47</v>
      </c>
      <c r="F47" s="149" t="s">
        <v>47</v>
      </c>
      <c r="G47" s="129" t="s">
        <v>49</v>
      </c>
      <c r="H47" s="129" t="s">
        <v>95</v>
      </c>
      <c r="I47" s="129" t="s">
        <v>96</v>
      </c>
      <c r="J47" s="129" t="s">
        <v>97</v>
      </c>
      <c r="K47" s="149" t="s">
        <v>91</v>
      </c>
    </row>
    <row r="48" spans="1:11" hidden="1">
      <c r="A48" s="169" t="s">
        <v>34</v>
      </c>
      <c r="B48" s="149" t="s">
        <v>65</v>
      </c>
      <c r="C48" s="160"/>
      <c r="D48" s="151"/>
      <c r="E48" s="151"/>
      <c r="F48" s="130"/>
      <c r="G48" s="130" t="s">
        <v>85</v>
      </c>
      <c r="H48" s="130" t="s">
        <v>98</v>
      </c>
      <c r="I48" s="130" t="s">
        <v>99</v>
      </c>
      <c r="J48" s="130" t="s">
        <v>69</v>
      </c>
      <c r="K48" s="130"/>
    </row>
    <row r="49" spans="1:11" hidden="1">
      <c r="A49" s="169" t="s">
        <v>34</v>
      </c>
      <c r="B49" s="149" t="s">
        <v>65</v>
      </c>
      <c r="C49" s="151"/>
      <c r="D49" s="151"/>
      <c r="E49" s="151"/>
      <c r="F49" s="130"/>
      <c r="G49" s="130" t="s">
        <v>85</v>
      </c>
      <c r="H49" s="130" t="s">
        <v>100</v>
      </c>
      <c r="I49" s="130" t="s">
        <v>101</v>
      </c>
      <c r="J49" s="130" t="s">
        <v>69</v>
      </c>
      <c r="K49" s="130"/>
    </row>
    <row r="50" spans="1:11" hidden="1">
      <c r="A50" s="169" t="s">
        <v>34</v>
      </c>
      <c r="B50" s="149" t="s">
        <v>65</v>
      </c>
      <c r="C50" s="151"/>
      <c r="D50" s="151"/>
      <c r="E50" s="151"/>
      <c r="F50" s="130"/>
      <c r="G50" s="130" t="s">
        <v>85</v>
      </c>
      <c r="H50" s="130" t="s">
        <v>102</v>
      </c>
      <c r="I50" s="130" t="s">
        <v>103</v>
      </c>
      <c r="J50" s="130" t="s">
        <v>69</v>
      </c>
      <c r="K50" s="130"/>
    </row>
    <row r="51" spans="1:11" hidden="1">
      <c r="A51" s="169" t="s">
        <v>34</v>
      </c>
      <c r="B51" s="149" t="s">
        <v>65</v>
      </c>
      <c r="C51" s="151"/>
      <c r="D51" s="151"/>
      <c r="E51" s="151"/>
      <c r="F51" s="130"/>
      <c r="G51" s="130" t="s">
        <v>85</v>
      </c>
      <c r="H51" s="130" t="s">
        <v>104</v>
      </c>
      <c r="I51" s="130" t="s">
        <v>105</v>
      </c>
      <c r="J51" s="130" t="s">
        <v>69</v>
      </c>
      <c r="K51" s="130"/>
    </row>
    <row r="52" spans="1:11" hidden="1">
      <c r="A52" s="169" t="s">
        <v>34</v>
      </c>
      <c r="B52" s="149" t="s">
        <v>65</v>
      </c>
      <c r="C52" s="151"/>
      <c r="D52" s="151"/>
      <c r="E52" s="151"/>
      <c r="F52" s="130"/>
      <c r="G52" s="130" t="s">
        <v>85</v>
      </c>
      <c r="H52" s="130" t="s">
        <v>106</v>
      </c>
      <c r="I52" s="130" t="s">
        <v>107</v>
      </c>
      <c r="J52" s="130" t="s">
        <v>69</v>
      </c>
      <c r="K52" s="130"/>
    </row>
    <row r="53" spans="1:11" hidden="1">
      <c r="A53" s="169" t="s">
        <v>34</v>
      </c>
      <c r="B53" s="149" t="s">
        <v>65</v>
      </c>
      <c r="C53" s="151"/>
      <c r="D53" s="151"/>
      <c r="E53" s="151"/>
      <c r="F53" s="130"/>
      <c r="G53" s="130" t="s">
        <v>85</v>
      </c>
      <c r="H53" s="130" t="s">
        <v>108</v>
      </c>
      <c r="I53" s="130" t="s">
        <v>109</v>
      </c>
      <c r="J53" s="130" t="s">
        <v>69</v>
      </c>
      <c r="K53" s="130"/>
    </row>
    <row r="54" spans="1:11" hidden="1">
      <c r="A54" s="169" t="s">
        <v>34</v>
      </c>
      <c r="B54" s="149" t="s">
        <v>65</v>
      </c>
      <c r="C54" s="151"/>
      <c r="D54" s="151"/>
      <c r="E54" s="151"/>
      <c r="F54" s="130"/>
      <c r="G54" s="130" t="s">
        <v>85</v>
      </c>
      <c r="H54" s="130" t="s">
        <v>110</v>
      </c>
      <c r="I54" s="130" t="s">
        <v>111</v>
      </c>
      <c r="J54" s="130" t="s">
        <v>69</v>
      </c>
      <c r="K54" s="130"/>
    </row>
    <row r="55" spans="1:11" hidden="1">
      <c r="A55" s="169" t="s">
        <v>34</v>
      </c>
      <c r="B55" s="149" t="s">
        <v>65</v>
      </c>
      <c r="C55" s="151"/>
      <c r="D55" s="151"/>
      <c r="E55" s="151"/>
      <c r="F55" s="130"/>
      <c r="G55" s="130" t="s">
        <v>85</v>
      </c>
      <c r="H55" s="130" t="s">
        <v>112</v>
      </c>
      <c r="I55" s="130" t="s">
        <v>113</v>
      </c>
      <c r="J55" s="130" t="s">
        <v>69</v>
      </c>
      <c r="K55" s="130"/>
    </row>
    <row r="56" spans="1:11" hidden="1">
      <c r="A56" s="169" t="s">
        <v>34</v>
      </c>
      <c r="B56" s="149" t="s">
        <v>65</v>
      </c>
      <c r="C56" s="151"/>
      <c r="D56" s="151"/>
      <c r="E56" s="151"/>
      <c r="F56" s="130"/>
      <c r="G56" s="130" t="s">
        <v>85</v>
      </c>
      <c r="H56" s="130" t="s">
        <v>114</v>
      </c>
      <c r="I56" s="130" t="s">
        <v>115</v>
      </c>
      <c r="J56" s="130" t="s">
        <v>69</v>
      </c>
      <c r="K56" s="130"/>
    </row>
    <row r="57" spans="1:11" hidden="1">
      <c r="A57" s="169" t="s">
        <v>34</v>
      </c>
      <c r="B57" s="149" t="s">
        <v>65</v>
      </c>
      <c r="C57" s="151"/>
      <c r="D57" s="151"/>
      <c r="E57" s="151"/>
      <c r="F57" s="130"/>
      <c r="G57" s="130" t="s">
        <v>85</v>
      </c>
      <c r="H57" s="130" t="s">
        <v>116</v>
      </c>
      <c r="I57" s="130" t="s">
        <v>117</v>
      </c>
      <c r="J57" s="130" t="s">
        <v>69</v>
      </c>
      <c r="K57" s="130"/>
    </row>
    <row r="58" spans="1:11" hidden="1">
      <c r="A58" s="169" t="s">
        <v>34</v>
      </c>
      <c r="B58" s="149" t="s">
        <v>65</v>
      </c>
      <c r="C58" s="151"/>
      <c r="D58" s="151"/>
      <c r="E58" s="151"/>
      <c r="F58" s="130"/>
      <c r="G58" s="130" t="s">
        <v>85</v>
      </c>
      <c r="H58" s="130" t="s">
        <v>118</v>
      </c>
      <c r="I58" s="130" t="s">
        <v>119</v>
      </c>
      <c r="J58" s="130" t="s">
        <v>69</v>
      </c>
      <c r="K58" s="130"/>
    </row>
    <row r="59" spans="1:11" hidden="1">
      <c r="A59" s="169" t="s">
        <v>34</v>
      </c>
      <c r="B59" s="149" t="s">
        <v>65</v>
      </c>
      <c r="C59" s="151"/>
      <c r="D59" s="151"/>
      <c r="E59" s="151"/>
      <c r="F59" s="130"/>
      <c r="G59" s="130" t="s">
        <v>85</v>
      </c>
      <c r="H59" s="130" t="s">
        <v>120</v>
      </c>
      <c r="I59" s="130" t="s">
        <v>121</v>
      </c>
      <c r="J59" s="130" t="s">
        <v>69</v>
      </c>
      <c r="K59" s="130"/>
    </row>
    <row r="60" spans="1:11" hidden="1">
      <c r="A60" s="169" t="s">
        <v>34</v>
      </c>
      <c r="B60" s="149" t="s">
        <v>65</v>
      </c>
      <c r="C60" s="151"/>
      <c r="D60" s="151"/>
      <c r="E60" s="151"/>
      <c r="F60" s="130"/>
      <c r="G60" s="130" t="s">
        <v>85</v>
      </c>
      <c r="H60" s="130" t="s">
        <v>122</v>
      </c>
      <c r="I60" s="130" t="s">
        <v>123</v>
      </c>
      <c r="J60" s="130" t="s">
        <v>69</v>
      </c>
      <c r="K60" s="130"/>
    </row>
    <row r="61" spans="1:11" hidden="1">
      <c r="A61" s="169" t="s">
        <v>34</v>
      </c>
      <c r="B61" s="149" t="s">
        <v>65</v>
      </c>
      <c r="C61" s="151"/>
      <c r="D61" s="151"/>
      <c r="E61" s="151"/>
      <c r="F61" s="130"/>
      <c r="G61" s="130" t="s">
        <v>85</v>
      </c>
      <c r="H61" s="130" t="s">
        <v>124</v>
      </c>
      <c r="I61" s="130" t="s">
        <v>125</v>
      </c>
      <c r="J61" s="130" t="s">
        <v>69</v>
      </c>
      <c r="K61" s="130"/>
    </row>
    <row r="62" spans="1:11" hidden="1">
      <c r="A62" s="169" t="s">
        <v>34</v>
      </c>
      <c r="B62" s="149" t="s">
        <v>65</v>
      </c>
      <c r="C62" s="151"/>
      <c r="D62" s="151"/>
      <c r="E62" s="151"/>
      <c r="F62" s="130"/>
      <c r="G62" s="130" t="s">
        <v>85</v>
      </c>
      <c r="H62" s="130" t="s">
        <v>126</v>
      </c>
      <c r="I62" s="130">
        <v>77</v>
      </c>
      <c r="J62" s="130" t="s">
        <v>69</v>
      </c>
      <c r="K62" s="130"/>
    </row>
    <row r="63" spans="1:11" hidden="1">
      <c r="A63" s="169" t="s">
        <v>34</v>
      </c>
      <c r="B63" s="149" t="s">
        <v>65</v>
      </c>
      <c r="C63" s="151"/>
      <c r="D63" s="151"/>
      <c r="E63" s="151"/>
      <c r="F63" s="130"/>
      <c r="G63" s="130" t="s">
        <v>85</v>
      </c>
      <c r="H63" s="130" t="s">
        <v>127</v>
      </c>
      <c r="I63" s="130" t="s">
        <v>128</v>
      </c>
      <c r="J63" s="130" t="s">
        <v>69</v>
      </c>
      <c r="K63" s="130"/>
    </row>
    <row r="64" spans="1:11" hidden="1">
      <c r="A64" s="169" t="s">
        <v>34</v>
      </c>
      <c r="B64" s="149" t="s">
        <v>65</v>
      </c>
      <c r="C64" s="151"/>
      <c r="D64" s="151"/>
      <c r="E64" s="151"/>
      <c r="F64" s="130"/>
      <c r="G64" s="130" t="s">
        <v>85</v>
      </c>
      <c r="H64" s="130" t="s">
        <v>129</v>
      </c>
      <c r="I64" s="130" t="s">
        <v>130</v>
      </c>
      <c r="J64" s="130" t="s">
        <v>69</v>
      </c>
      <c r="K64" s="130"/>
    </row>
    <row r="65" spans="1:11" hidden="1">
      <c r="A65" s="169" t="s">
        <v>34</v>
      </c>
      <c r="B65" s="149" t="s">
        <v>65</v>
      </c>
      <c r="C65" s="151"/>
      <c r="D65" s="151"/>
      <c r="E65" s="151"/>
      <c r="F65" s="130"/>
      <c r="G65" s="130" t="s">
        <v>85</v>
      </c>
      <c r="H65" s="130" t="s">
        <v>131</v>
      </c>
      <c r="I65" s="130">
        <v>0.83</v>
      </c>
      <c r="J65" s="130" t="s">
        <v>69</v>
      </c>
      <c r="K65" s="130"/>
    </row>
    <row r="66" spans="1:11" hidden="1">
      <c r="A66" s="169" t="s">
        <v>34</v>
      </c>
      <c r="B66" s="149" t="s">
        <v>65</v>
      </c>
      <c r="C66" s="151"/>
      <c r="D66" s="151"/>
      <c r="E66" s="151"/>
      <c r="F66" s="130"/>
      <c r="G66" s="130" t="s">
        <v>85</v>
      </c>
      <c r="H66" s="130" t="s">
        <v>132</v>
      </c>
      <c r="I66" s="130">
        <v>0</v>
      </c>
      <c r="J66" s="130" t="s">
        <v>69</v>
      </c>
      <c r="K66" s="130"/>
    </row>
    <row r="67" spans="1:11" hidden="1">
      <c r="A67" s="169" t="s">
        <v>34</v>
      </c>
      <c r="B67" s="149" t="s">
        <v>65</v>
      </c>
      <c r="C67" s="151"/>
      <c r="D67" s="151"/>
      <c r="E67" s="151"/>
      <c r="F67" s="130"/>
      <c r="G67" s="130" t="s">
        <v>85</v>
      </c>
      <c r="H67" s="130" t="s">
        <v>133</v>
      </c>
      <c r="I67" s="130">
        <v>0</v>
      </c>
      <c r="J67" s="130" t="s">
        <v>69</v>
      </c>
      <c r="K67" s="130"/>
    </row>
    <row r="68" spans="1:11" hidden="1">
      <c r="A68" s="169" t="s">
        <v>34</v>
      </c>
      <c r="B68" s="149" t="s">
        <v>65</v>
      </c>
      <c r="C68" s="151"/>
      <c r="D68" s="151"/>
      <c r="E68" s="151"/>
      <c r="F68" s="130"/>
      <c r="G68" s="130" t="s">
        <v>85</v>
      </c>
      <c r="H68" s="130" t="s">
        <v>134</v>
      </c>
      <c r="I68" s="130" t="s">
        <v>135</v>
      </c>
      <c r="J68" s="130" t="s">
        <v>69</v>
      </c>
      <c r="K68" s="130"/>
    </row>
    <row r="69" spans="1:11" hidden="1">
      <c r="A69" s="169" t="s">
        <v>34</v>
      </c>
      <c r="B69" s="149" t="s">
        <v>65</v>
      </c>
      <c r="C69" s="151"/>
      <c r="D69" s="151"/>
      <c r="E69" s="151"/>
      <c r="F69" s="130"/>
      <c r="G69" s="130" t="s">
        <v>85</v>
      </c>
      <c r="H69" s="130" t="s">
        <v>136</v>
      </c>
      <c r="I69" s="130" t="s">
        <v>137</v>
      </c>
      <c r="J69" s="130" t="s">
        <v>69</v>
      </c>
      <c r="K69" s="130"/>
    </row>
    <row r="70" spans="1:11" hidden="1">
      <c r="A70" s="169" t="s">
        <v>34</v>
      </c>
      <c r="B70" s="149" t="s">
        <v>65</v>
      </c>
      <c r="C70" s="151"/>
      <c r="D70" s="151"/>
      <c r="E70" s="151"/>
      <c r="F70" s="130"/>
      <c r="G70" s="130" t="s">
        <v>85</v>
      </c>
      <c r="H70" s="130" t="s">
        <v>138</v>
      </c>
      <c r="I70" s="130" t="s">
        <v>139</v>
      </c>
      <c r="J70" s="130" t="s">
        <v>69</v>
      </c>
      <c r="K70" s="130"/>
    </row>
    <row r="71" spans="1:11" hidden="1">
      <c r="A71" s="169" t="s">
        <v>34</v>
      </c>
      <c r="B71" s="149" t="s">
        <v>65</v>
      </c>
      <c r="C71" s="151"/>
      <c r="D71" s="151"/>
      <c r="E71" s="151"/>
      <c r="F71" s="130"/>
      <c r="G71" s="130" t="s">
        <v>85</v>
      </c>
      <c r="H71" s="130" t="s">
        <v>140</v>
      </c>
      <c r="I71" s="130" t="s">
        <v>125</v>
      </c>
      <c r="J71" s="130" t="s">
        <v>69</v>
      </c>
      <c r="K71" s="130"/>
    </row>
    <row r="72" spans="1:11" hidden="1">
      <c r="A72" s="169" t="s">
        <v>34</v>
      </c>
      <c r="B72" s="149" t="s">
        <v>65</v>
      </c>
      <c r="C72" s="151"/>
      <c r="D72" s="151"/>
      <c r="E72" s="151"/>
      <c r="F72" s="130"/>
      <c r="G72" s="130" t="s">
        <v>85</v>
      </c>
      <c r="H72" s="130" t="s">
        <v>141</v>
      </c>
      <c r="I72" s="130">
        <v>77</v>
      </c>
      <c r="J72" s="130" t="s">
        <v>69</v>
      </c>
      <c r="K72" s="130"/>
    </row>
    <row r="73" spans="1:11" hidden="1">
      <c r="A73" s="169" t="s">
        <v>34</v>
      </c>
      <c r="B73" s="149" t="s">
        <v>65</v>
      </c>
      <c r="C73" s="151"/>
      <c r="D73" s="151"/>
      <c r="E73" s="151"/>
      <c r="F73" s="130"/>
      <c r="G73" s="130" t="s">
        <v>85</v>
      </c>
      <c r="H73" s="130" t="s">
        <v>142</v>
      </c>
      <c r="I73" s="130" t="s">
        <v>143</v>
      </c>
      <c r="J73" s="130" t="s">
        <v>69</v>
      </c>
      <c r="K73" s="130"/>
    </row>
    <row r="74" spans="1:11" hidden="1">
      <c r="A74" s="169" t="s">
        <v>34</v>
      </c>
      <c r="B74" s="149" t="s">
        <v>65</v>
      </c>
      <c r="C74" s="151"/>
      <c r="D74" s="151"/>
      <c r="E74" s="151"/>
      <c r="F74" s="130"/>
      <c r="G74" s="130" t="s">
        <v>85</v>
      </c>
      <c r="H74" s="130" t="s">
        <v>144</v>
      </c>
      <c r="I74" s="130" t="s">
        <v>130</v>
      </c>
      <c r="J74" s="130" t="s">
        <v>69</v>
      </c>
      <c r="K74" s="130"/>
    </row>
    <row r="75" spans="1:11" hidden="1">
      <c r="A75" s="169" t="s">
        <v>34</v>
      </c>
      <c r="B75" s="149" t="s">
        <v>65</v>
      </c>
      <c r="C75" s="151"/>
      <c r="D75" s="151"/>
      <c r="E75" s="151"/>
      <c r="F75" s="130"/>
      <c r="G75" s="130" t="s">
        <v>85</v>
      </c>
      <c r="H75" s="130" t="s">
        <v>145</v>
      </c>
      <c r="I75" s="130">
        <v>0.83</v>
      </c>
      <c r="J75" s="130" t="s">
        <v>69</v>
      </c>
      <c r="K75" s="130"/>
    </row>
    <row r="76" spans="1:11" hidden="1">
      <c r="A76" s="169" t="s">
        <v>34</v>
      </c>
      <c r="B76" s="149" t="s">
        <v>65</v>
      </c>
      <c r="C76" s="151"/>
      <c r="D76" s="151"/>
      <c r="E76" s="151"/>
      <c r="F76" s="130"/>
      <c r="G76" s="130" t="s">
        <v>85</v>
      </c>
      <c r="H76" s="130" t="s">
        <v>146</v>
      </c>
      <c r="I76" s="130">
        <v>0</v>
      </c>
      <c r="J76" s="130" t="s">
        <v>69</v>
      </c>
      <c r="K76" s="130"/>
    </row>
    <row r="77" spans="1:11" hidden="1">
      <c r="A77" s="169" t="s">
        <v>34</v>
      </c>
      <c r="B77" s="149" t="s">
        <v>65</v>
      </c>
      <c r="C77" s="151"/>
      <c r="D77" s="151"/>
      <c r="E77" s="151"/>
      <c r="F77" s="130"/>
      <c r="G77" s="130" t="s">
        <v>85</v>
      </c>
      <c r="H77" s="130" t="s">
        <v>147</v>
      </c>
      <c r="I77" s="130">
        <v>0</v>
      </c>
      <c r="J77" s="130" t="s">
        <v>69</v>
      </c>
      <c r="K77" s="130"/>
    </row>
    <row r="78" spans="1:11" hidden="1">
      <c r="A78" s="169" t="s">
        <v>34</v>
      </c>
      <c r="B78" s="149" t="s">
        <v>65</v>
      </c>
      <c r="C78" s="151"/>
      <c r="D78" s="151"/>
      <c r="E78" s="151"/>
      <c r="F78" s="130"/>
      <c r="G78" s="130" t="s">
        <v>85</v>
      </c>
      <c r="H78" s="130" t="s">
        <v>148</v>
      </c>
      <c r="I78" s="130" t="s">
        <v>149</v>
      </c>
      <c r="J78" s="130" t="s">
        <v>69</v>
      </c>
      <c r="K78" s="130"/>
    </row>
    <row r="79" spans="1:11" hidden="1">
      <c r="A79" s="169" t="s">
        <v>34</v>
      </c>
      <c r="B79" s="149" t="s">
        <v>65</v>
      </c>
      <c r="C79" s="151"/>
      <c r="D79" s="151"/>
      <c r="E79" s="151"/>
      <c r="F79" s="130"/>
      <c r="G79" s="130" t="s">
        <v>85</v>
      </c>
      <c r="H79" s="130" t="s">
        <v>150</v>
      </c>
      <c r="I79" s="130" t="s">
        <v>137</v>
      </c>
      <c r="J79" s="130" t="s">
        <v>69</v>
      </c>
      <c r="K79" s="130"/>
    </row>
    <row r="80" spans="1:11" hidden="1">
      <c r="A80" s="169" t="s">
        <v>34</v>
      </c>
      <c r="B80" s="149" t="s">
        <v>65</v>
      </c>
      <c r="C80" s="151"/>
      <c r="D80" s="151"/>
      <c r="E80" s="151"/>
      <c r="F80" s="130"/>
      <c r="G80" s="130" t="s">
        <v>85</v>
      </c>
      <c r="H80" s="130" t="s">
        <v>151</v>
      </c>
      <c r="I80" s="130" t="s">
        <v>152</v>
      </c>
      <c r="J80" s="130" t="s">
        <v>69</v>
      </c>
      <c r="K80" s="130"/>
    </row>
    <row r="81" spans="1:11" hidden="1">
      <c r="A81" s="169" t="s">
        <v>34</v>
      </c>
      <c r="B81" s="149" t="s">
        <v>65</v>
      </c>
      <c r="C81" s="151"/>
      <c r="D81" s="151"/>
      <c r="E81" s="151"/>
      <c r="F81" s="130"/>
      <c r="G81" s="130" t="s">
        <v>85</v>
      </c>
      <c r="H81" s="130" t="s">
        <v>153</v>
      </c>
      <c r="I81" s="130" t="s">
        <v>125</v>
      </c>
      <c r="J81" s="130" t="s">
        <v>69</v>
      </c>
      <c r="K81" s="130"/>
    </row>
    <row r="82" spans="1:11" hidden="1">
      <c r="A82" s="169" t="s">
        <v>34</v>
      </c>
      <c r="B82" s="149" t="s">
        <v>65</v>
      </c>
      <c r="C82" s="151"/>
      <c r="D82" s="151"/>
      <c r="E82" s="151"/>
      <c r="F82" s="130"/>
      <c r="G82" s="130" t="s">
        <v>85</v>
      </c>
      <c r="H82" s="130" t="s">
        <v>154</v>
      </c>
      <c r="I82" s="130">
        <v>78</v>
      </c>
      <c r="J82" s="130" t="s">
        <v>69</v>
      </c>
      <c r="K82" s="130"/>
    </row>
    <row r="83" spans="1:11" hidden="1">
      <c r="A83" s="169" t="s">
        <v>34</v>
      </c>
      <c r="B83" s="149" t="s">
        <v>65</v>
      </c>
      <c r="C83" s="151"/>
      <c r="D83" s="151"/>
      <c r="E83" s="151"/>
      <c r="F83" s="130"/>
      <c r="G83" s="130" t="s">
        <v>85</v>
      </c>
      <c r="H83" s="130" t="s">
        <v>155</v>
      </c>
      <c r="I83" s="130" t="s">
        <v>156</v>
      </c>
      <c r="J83" s="130" t="s">
        <v>69</v>
      </c>
      <c r="K83" s="130"/>
    </row>
    <row r="84" spans="1:11" hidden="1">
      <c r="A84" s="169" t="s">
        <v>34</v>
      </c>
      <c r="B84" s="149" t="s">
        <v>65</v>
      </c>
      <c r="C84" s="151"/>
      <c r="D84" s="151"/>
      <c r="E84" s="151"/>
      <c r="F84" s="130"/>
      <c r="G84" s="130" t="s">
        <v>85</v>
      </c>
      <c r="H84" s="130" t="s">
        <v>157</v>
      </c>
      <c r="I84" s="130" t="s">
        <v>130</v>
      </c>
      <c r="J84" s="130" t="s">
        <v>69</v>
      </c>
      <c r="K84" s="130"/>
    </row>
    <row r="85" spans="1:11" hidden="1">
      <c r="A85" s="169" t="s">
        <v>34</v>
      </c>
      <c r="B85" s="149" t="s">
        <v>65</v>
      </c>
      <c r="C85" s="151"/>
      <c r="D85" s="151"/>
      <c r="E85" s="151"/>
      <c r="F85" s="130"/>
      <c r="G85" s="130" t="s">
        <v>85</v>
      </c>
      <c r="H85" s="130" t="s">
        <v>158</v>
      </c>
      <c r="I85" s="130">
        <v>1.08</v>
      </c>
      <c r="J85" s="130" t="s">
        <v>69</v>
      </c>
      <c r="K85" s="130"/>
    </row>
    <row r="86" spans="1:11" hidden="1">
      <c r="A86" s="169" t="s">
        <v>34</v>
      </c>
      <c r="B86" s="149" t="s">
        <v>65</v>
      </c>
      <c r="C86" s="151"/>
      <c r="D86" s="151"/>
      <c r="E86" s="151"/>
      <c r="F86" s="130"/>
      <c r="G86" s="130" t="s">
        <v>85</v>
      </c>
      <c r="H86" s="130" t="s">
        <v>159</v>
      </c>
      <c r="I86" s="130">
        <v>0</v>
      </c>
      <c r="J86" s="130" t="s">
        <v>69</v>
      </c>
      <c r="K86" s="130"/>
    </row>
    <row r="87" spans="1:11" hidden="1">
      <c r="A87" s="169" t="s">
        <v>34</v>
      </c>
      <c r="B87" s="149" t="s">
        <v>65</v>
      </c>
      <c r="C87" s="151"/>
      <c r="D87" s="151"/>
      <c r="E87" s="151"/>
      <c r="F87" s="130"/>
      <c r="G87" s="130" t="s">
        <v>85</v>
      </c>
      <c r="H87" s="130" t="s">
        <v>160</v>
      </c>
      <c r="I87" s="130">
        <v>0</v>
      </c>
      <c r="J87" s="130" t="s">
        <v>69</v>
      </c>
      <c r="K87" s="130"/>
    </row>
    <row r="88" spans="1:11" hidden="1">
      <c r="A88" s="169" t="s">
        <v>34</v>
      </c>
      <c r="B88" s="149" t="s">
        <v>65</v>
      </c>
      <c r="C88" s="151"/>
      <c r="D88" s="151"/>
      <c r="E88" s="151"/>
      <c r="F88" s="130"/>
      <c r="G88" s="130" t="s">
        <v>85</v>
      </c>
      <c r="H88" s="130" t="s">
        <v>161</v>
      </c>
      <c r="I88" s="130" t="s">
        <v>162</v>
      </c>
      <c r="J88" s="130" t="s">
        <v>69</v>
      </c>
      <c r="K88" s="130"/>
    </row>
    <row r="89" spans="1:11" hidden="1">
      <c r="A89" s="169" t="s">
        <v>34</v>
      </c>
      <c r="B89" s="149" t="s">
        <v>65</v>
      </c>
      <c r="C89" s="151"/>
      <c r="D89" s="151"/>
      <c r="E89" s="151"/>
      <c r="F89" s="130"/>
      <c r="G89" s="130" t="s">
        <v>85</v>
      </c>
      <c r="H89" s="130" t="s">
        <v>163</v>
      </c>
      <c r="I89" s="130" t="s">
        <v>137</v>
      </c>
      <c r="J89" s="130" t="s">
        <v>69</v>
      </c>
      <c r="K89" s="130"/>
    </row>
    <row r="90" spans="1:11" hidden="1">
      <c r="A90" s="169" t="s">
        <v>34</v>
      </c>
      <c r="B90" s="149" t="s">
        <v>65</v>
      </c>
      <c r="C90" s="151"/>
      <c r="D90" s="151"/>
      <c r="E90" s="151"/>
      <c r="F90" s="130"/>
      <c r="G90" s="130" t="s">
        <v>85</v>
      </c>
      <c r="H90" s="130" t="s">
        <v>164</v>
      </c>
      <c r="I90" s="130" t="s">
        <v>165</v>
      </c>
      <c r="J90" s="130" t="s">
        <v>69</v>
      </c>
      <c r="K90" s="130"/>
    </row>
    <row r="91" spans="1:11" hidden="1">
      <c r="A91" s="169" t="s">
        <v>34</v>
      </c>
      <c r="B91" s="149" t="s">
        <v>65</v>
      </c>
      <c r="C91" s="151"/>
      <c r="D91" s="151"/>
      <c r="E91" s="151"/>
      <c r="F91" s="130"/>
      <c r="G91" s="130" t="s">
        <v>85</v>
      </c>
      <c r="H91" s="130" t="s">
        <v>166</v>
      </c>
      <c r="I91" s="130" t="s">
        <v>125</v>
      </c>
      <c r="J91" s="130" t="s">
        <v>69</v>
      </c>
      <c r="K91" s="130"/>
    </row>
    <row r="92" spans="1:11" hidden="1">
      <c r="A92" s="169" t="s">
        <v>34</v>
      </c>
      <c r="B92" s="149" t="s">
        <v>65</v>
      </c>
      <c r="C92" s="151"/>
      <c r="D92" s="151"/>
      <c r="E92" s="151"/>
      <c r="F92" s="130"/>
      <c r="G92" s="130" t="s">
        <v>85</v>
      </c>
      <c r="H92" s="130" t="s">
        <v>167</v>
      </c>
      <c r="I92" s="130">
        <v>79</v>
      </c>
      <c r="J92" s="130" t="s">
        <v>69</v>
      </c>
      <c r="K92" s="130"/>
    </row>
    <row r="93" spans="1:11" hidden="1">
      <c r="A93" s="169" t="s">
        <v>34</v>
      </c>
      <c r="B93" s="149" t="s">
        <v>65</v>
      </c>
      <c r="C93" s="151"/>
      <c r="D93" s="151"/>
      <c r="E93" s="151"/>
      <c r="F93" s="130"/>
      <c r="G93" s="130" t="s">
        <v>85</v>
      </c>
      <c r="H93" s="130" t="s">
        <v>168</v>
      </c>
      <c r="I93" s="130" t="s">
        <v>169</v>
      </c>
      <c r="J93" s="130" t="s">
        <v>69</v>
      </c>
      <c r="K93" s="130"/>
    </row>
    <row r="94" spans="1:11" hidden="1">
      <c r="A94" s="169" t="s">
        <v>34</v>
      </c>
      <c r="B94" s="149" t="s">
        <v>65</v>
      </c>
      <c r="C94" s="151"/>
      <c r="D94" s="151"/>
      <c r="E94" s="151"/>
      <c r="F94" s="130"/>
      <c r="G94" s="130" t="s">
        <v>85</v>
      </c>
      <c r="H94" s="130" t="s">
        <v>170</v>
      </c>
      <c r="I94" s="130" t="s">
        <v>130</v>
      </c>
      <c r="J94" s="130" t="s">
        <v>69</v>
      </c>
      <c r="K94" s="130"/>
    </row>
    <row r="95" spans="1:11" hidden="1">
      <c r="A95" s="169" t="s">
        <v>34</v>
      </c>
      <c r="B95" s="149" t="s">
        <v>65</v>
      </c>
      <c r="C95" s="151"/>
      <c r="D95" s="151"/>
      <c r="E95" s="151"/>
      <c r="F95" s="130"/>
      <c r="G95" s="130" t="s">
        <v>85</v>
      </c>
      <c r="H95" s="130" t="s">
        <v>171</v>
      </c>
      <c r="I95" s="130">
        <v>0.79</v>
      </c>
      <c r="J95" s="130" t="s">
        <v>69</v>
      </c>
      <c r="K95" s="130"/>
    </row>
    <row r="96" spans="1:11" hidden="1">
      <c r="A96" s="169" t="s">
        <v>34</v>
      </c>
      <c r="B96" s="149" t="s">
        <v>65</v>
      </c>
      <c r="C96" s="151"/>
      <c r="D96" s="151"/>
      <c r="E96" s="151"/>
      <c r="F96" s="130"/>
      <c r="G96" s="130" t="s">
        <v>85</v>
      </c>
      <c r="H96" s="130" t="s">
        <v>172</v>
      </c>
      <c r="I96" s="130">
        <v>0</v>
      </c>
      <c r="J96" s="130" t="s">
        <v>69</v>
      </c>
      <c r="K96" s="130"/>
    </row>
    <row r="97" spans="1:11" hidden="1">
      <c r="A97" s="169" t="s">
        <v>34</v>
      </c>
      <c r="B97" s="149" t="s">
        <v>65</v>
      </c>
      <c r="C97" s="151"/>
      <c r="D97" s="151"/>
      <c r="E97" s="151"/>
      <c r="F97" s="130"/>
      <c r="G97" s="130" t="s">
        <v>85</v>
      </c>
      <c r="H97" s="130" t="s">
        <v>173</v>
      </c>
      <c r="I97" s="130">
        <v>0</v>
      </c>
      <c r="J97" s="130" t="s">
        <v>69</v>
      </c>
      <c r="K97" s="130"/>
    </row>
    <row r="98" spans="1:11" hidden="1">
      <c r="A98" s="169" t="s">
        <v>34</v>
      </c>
      <c r="B98" s="149" t="s">
        <v>65</v>
      </c>
      <c r="C98" s="151"/>
      <c r="D98" s="151"/>
      <c r="E98" s="151"/>
      <c r="F98" s="130"/>
      <c r="G98" s="130" t="s">
        <v>85</v>
      </c>
      <c r="H98" s="130" t="s">
        <v>174</v>
      </c>
      <c r="I98" s="130" t="s">
        <v>175</v>
      </c>
      <c r="J98" s="130" t="s">
        <v>69</v>
      </c>
      <c r="K98" s="130"/>
    </row>
    <row r="99" spans="1:11" hidden="1">
      <c r="A99" s="169" t="s">
        <v>34</v>
      </c>
      <c r="B99" s="149" t="s">
        <v>65</v>
      </c>
      <c r="C99" s="151"/>
      <c r="D99" s="151"/>
      <c r="E99" s="151"/>
      <c r="F99" s="130"/>
      <c r="G99" s="130" t="s">
        <v>85</v>
      </c>
      <c r="H99" s="130" t="s">
        <v>176</v>
      </c>
      <c r="I99" s="130" t="s">
        <v>137</v>
      </c>
      <c r="J99" s="130" t="s">
        <v>69</v>
      </c>
      <c r="K99" s="130"/>
    </row>
    <row r="100" spans="1:11" hidden="1">
      <c r="A100" s="169" t="s">
        <v>34</v>
      </c>
      <c r="B100" s="149" t="s">
        <v>65</v>
      </c>
      <c r="C100" s="151"/>
      <c r="D100" s="151"/>
      <c r="E100" s="151"/>
      <c r="F100" s="130"/>
      <c r="G100" s="130" t="s">
        <v>85</v>
      </c>
      <c r="H100" s="130" t="s">
        <v>177</v>
      </c>
      <c r="I100" s="130" t="s">
        <v>178</v>
      </c>
      <c r="J100" s="130" t="s">
        <v>69</v>
      </c>
      <c r="K100" s="130"/>
    </row>
    <row r="101" spans="1:11" hidden="1">
      <c r="A101" s="169" t="s">
        <v>34</v>
      </c>
      <c r="B101" s="149" t="s">
        <v>65</v>
      </c>
      <c r="C101" s="151"/>
      <c r="D101" s="151"/>
      <c r="E101" s="151"/>
      <c r="F101" s="130"/>
      <c r="G101" s="130" t="s">
        <v>85</v>
      </c>
      <c r="H101" s="130" t="s">
        <v>179</v>
      </c>
      <c r="I101" s="130" t="s">
        <v>125</v>
      </c>
      <c r="J101" s="130" t="s">
        <v>69</v>
      </c>
      <c r="K101" s="130"/>
    </row>
    <row r="102" spans="1:11" hidden="1">
      <c r="A102" s="169" t="s">
        <v>34</v>
      </c>
      <c r="B102" s="149" t="s">
        <v>65</v>
      </c>
      <c r="C102" s="151"/>
      <c r="D102" s="151"/>
      <c r="E102" s="151"/>
      <c r="F102" s="130"/>
      <c r="G102" s="130" t="s">
        <v>85</v>
      </c>
      <c r="H102" s="130" t="s">
        <v>180</v>
      </c>
      <c r="I102" s="130">
        <v>80</v>
      </c>
      <c r="J102" s="130" t="s">
        <v>69</v>
      </c>
      <c r="K102" s="130"/>
    </row>
    <row r="103" spans="1:11" hidden="1">
      <c r="A103" s="169" t="s">
        <v>34</v>
      </c>
      <c r="B103" s="149" t="s">
        <v>65</v>
      </c>
      <c r="C103" s="151"/>
      <c r="D103" s="151"/>
      <c r="E103" s="151"/>
      <c r="F103" s="130"/>
      <c r="G103" s="130" t="s">
        <v>85</v>
      </c>
      <c r="H103" s="130" t="s">
        <v>181</v>
      </c>
      <c r="I103" s="130" t="s">
        <v>182</v>
      </c>
      <c r="J103" s="130" t="s">
        <v>69</v>
      </c>
      <c r="K103" s="130"/>
    </row>
    <row r="104" spans="1:11" hidden="1">
      <c r="A104" s="169" t="s">
        <v>34</v>
      </c>
      <c r="B104" s="149" t="s">
        <v>65</v>
      </c>
      <c r="C104" s="151"/>
      <c r="D104" s="151"/>
      <c r="E104" s="151"/>
      <c r="F104" s="130"/>
      <c r="G104" s="130" t="s">
        <v>85</v>
      </c>
      <c r="H104" s="130" t="s">
        <v>183</v>
      </c>
      <c r="I104" s="130" t="s">
        <v>130</v>
      </c>
      <c r="J104" s="130" t="s">
        <v>69</v>
      </c>
      <c r="K104" s="130"/>
    </row>
    <row r="105" spans="1:11" hidden="1">
      <c r="A105" s="169" t="s">
        <v>34</v>
      </c>
      <c r="B105" s="149" t="s">
        <v>65</v>
      </c>
      <c r="C105" s="151"/>
      <c r="D105" s="151"/>
      <c r="E105" s="151"/>
      <c r="F105" s="130"/>
      <c r="G105" s="130" t="s">
        <v>85</v>
      </c>
      <c r="H105" s="130" t="s">
        <v>184</v>
      </c>
      <c r="I105" s="130">
        <v>0.49</v>
      </c>
      <c r="J105" s="130" t="s">
        <v>69</v>
      </c>
      <c r="K105" s="130"/>
    </row>
    <row r="106" spans="1:11" hidden="1">
      <c r="A106" s="169" t="s">
        <v>34</v>
      </c>
      <c r="B106" s="149" t="s">
        <v>65</v>
      </c>
      <c r="C106" s="151"/>
      <c r="D106" s="151"/>
      <c r="E106" s="151"/>
      <c r="F106" s="130"/>
      <c r="G106" s="130" t="s">
        <v>85</v>
      </c>
      <c r="H106" s="130" t="s">
        <v>185</v>
      </c>
      <c r="I106" s="130">
        <v>0</v>
      </c>
      <c r="J106" s="130" t="s">
        <v>69</v>
      </c>
      <c r="K106" s="130"/>
    </row>
    <row r="107" spans="1:11" hidden="1">
      <c r="A107" s="169" t="s">
        <v>34</v>
      </c>
      <c r="B107" s="149" t="s">
        <v>65</v>
      </c>
      <c r="C107" s="151"/>
      <c r="D107" s="151"/>
      <c r="E107" s="151"/>
      <c r="F107" s="130"/>
      <c r="G107" s="130" t="s">
        <v>85</v>
      </c>
      <c r="H107" s="130" t="s">
        <v>186</v>
      </c>
      <c r="I107" s="130">
        <v>0</v>
      </c>
      <c r="J107" s="130" t="s">
        <v>69</v>
      </c>
      <c r="K107" s="130"/>
    </row>
    <row r="108" spans="1:11" hidden="1">
      <c r="A108" s="169" t="s">
        <v>34</v>
      </c>
      <c r="B108" s="149" t="s">
        <v>65</v>
      </c>
      <c r="C108" s="151"/>
      <c r="D108" s="151"/>
      <c r="E108" s="151"/>
      <c r="F108" s="130"/>
      <c r="G108" s="130" t="s">
        <v>85</v>
      </c>
      <c r="H108" s="130" t="s">
        <v>187</v>
      </c>
      <c r="I108" s="130" t="s">
        <v>188</v>
      </c>
      <c r="J108" s="130" t="s">
        <v>69</v>
      </c>
      <c r="K108" s="130"/>
    </row>
    <row r="109" spans="1:11" hidden="1">
      <c r="A109" s="169" t="s">
        <v>34</v>
      </c>
      <c r="B109" s="149" t="s">
        <v>65</v>
      </c>
      <c r="C109" s="151"/>
      <c r="D109" s="151"/>
      <c r="E109" s="151"/>
      <c r="F109" s="130"/>
      <c r="G109" s="130" t="s">
        <v>85</v>
      </c>
      <c r="H109" s="130" t="s">
        <v>189</v>
      </c>
      <c r="I109" s="130" t="s">
        <v>137</v>
      </c>
      <c r="J109" s="130" t="s">
        <v>69</v>
      </c>
      <c r="K109" s="130"/>
    </row>
    <row r="110" spans="1:11" hidden="1">
      <c r="A110" s="169" t="s">
        <v>34</v>
      </c>
      <c r="B110" s="149" t="s">
        <v>65</v>
      </c>
      <c r="C110" s="151"/>
      <c r="D110" s="151"/>
      <c r="E110" s="151"/>
      <c r="F110" s="130"/>
      <c r="G110" s="130" t="s">
        <v>85</v>
      </c>
      <c r="H110" s="130" t="s">
        <v>190</v>
      </c>
      <c r="I110" s="130" t="s">
        <v>191</v>
      </c>
      <c r="J110" s="130" t="s">
        <v>69</v>
      </c>
      <c r="K110" s="130"/>
    </row>
    <row r="111" spans="1:11" hidden="1">
      <c r="A111" s="169" t="s">
        <v>34</v>
      </c>
      <c r="B111" s="149" t="s">
        <v>65</v>
      </c>
      <c r="C111" s="151"/>
      <c r="D111" s="151"/>
      <c r="E111" s="151"/>
      <c r="F111" s="130"/>
      <c r="G111" s="130" t="s">
        <v>85</v>
      </c>
      <c r="H111" s="130" t="s">
        <v>192</v>
      </c>
      <c r="I111" s="130" t="s">
        <v>125</v>
      </c>
      <c r="J111" s="130" t="s">
        <v>69</v>
      </c>
      <c r="K111" s="130"/>
    </row>
    <row r="112" spans="1:11" hidden="1">
      <c r="A112" s="169" t="s">
        <v>34</v>
      </c>
      <c r="B112" s="149" t="s">
        <v>65</v>
      </c>
      <c r="C112" s="151"/>
      <c r="D112" s="151"/>
      <c r="E112" s="151"/>
      <c r="F112" s="130"/>
      <c r="G112" s="130" t="s">
        <v>85</v>
      </c>
      <c r="H112" s="130" t="s">
        <v>193</v>
      </c>
      <c r="I112" s="130">
        <v>81</v>
      </c>
      <c r="J112" s="130" t="s">
        <v>69</v>
      </c>
      <c r="K112" s="130"/>
    </row>
    <row r="113" spans="1:11" hidden="1">
      <c r="A113" s="169" t="s">
        <v>34</v>
      </c>
      <c r="B113" s="149" t="s">
        <v>65</v>
      </c>
      <c r="C113" s="151"/>
      <c r="D113" s="151"/>
      <c r="E113" s="151"/>
      <c r="F113" s="130"/>
      <c r="G113" s="130" t="s">
        <v>85</v>
      </c>
      <c r="H113" s="130" t="s">
        <v>194</v>
      </c>
      <c r="I113" s="130" t="s">
        <v>195</v>
      </c>
      <c r="J113" s="130" t="s">
        <v>69</v>
      </c>
      <c r="K113" s="130"/>
    </row>
    <row r="114" spans="1:11" hidden="1">
      <c r="A114" s="169" t="s">
        <v>34</v>
      </c>
      <c r="B114" s="149" t="s">
        <v>65</v>
      </c>
      <c r="C114" s="151"/>
      <c r="D114" s="151"/>
      <c r="E114" s="151"/>
      <c r="F114" s="130"/>
      <c r="G114" s="130" t="s">
        <v>85</v>
      </c>
      <c r="H114" s="130" t="s">
        <v>196</v>
      </c>
      <c r="I114" s="130" t="s">
        <v>130</v>
      </c>
      <c r="J114" s="130" t="s">
        <v>69</v>
      </c>
      <c r="K114" s="130"/>
    </row>
    <row r="115" spans="1:11" hidden="1">
      <c r="A115" s="169" t="s">
        <v>34</v>
      </c>
      <c r="B115" s="149" t="s">
        <v>65</v>
      </c>
      <c r="C115" s="151"/>
      <c r="D115" s="151"/>
      <c r="E115" s="151"/>
      <c r="F115" s="130"/>
      <c r="G115" s="130" t="s">
        <v>85</v>
      </c>
      <c r="H115" s="130" t="s">
        <v>197</v>
      </c>
      <c r="I115" s="130">
        <v>0.7</v>
      </c>
      <c r="J115" s="130" t="s">
        <v>69</v>
      </c>
      <c r="K115" s="130"/>
    </row>
    <row r="116" spans="1:11" hidden="1">
      <c r="A116" s="169" t="s">
        <v>34</v>
      </c>
      <c r="B116" s="149" t="s">
        <v>65</v>
      </c>
      <c r="C116" s="151"/>
      <c r="D116" s="151"/>
      <c r="E116" s="151"/>
      <c r="F116" s="130"/>
      <c r="G116" s="130" t="s">
        <v>85</v>
      </c>
      <c r="H116" s="130" t="s">
        <v>198</v>
      </c>
      <c r="I116" s="130">
        <v>0</v>
      </c>
      <c r="J116" s="130" t="s">
        <v>69</v>
      </c>
      <c r="K116" s="130"/>
    </row>
    <row r="117" spans="1:11" hidden="1">
      <c r="A117" s="169" t="s">
        <v>34</v>
      </c>
      <c r="B117" s="149" t="s">
        <v>65</v>
      </c>
      <c r="C117" s="151"/>
      <c r="D117" s="151"/>
      <c r="E117" s="151"/>
      <c r="F117" s="130"/>
      <c r="G117" s="130" t="s">
        <v>85</v>
      </c>
      <c r="H117" s="130" t="s">
        <v>199</v>
      </c>
      <c r="I117" s="130">
        <v>0</v>
      </c>
      <c r="J117" s="130" t="s">
        <v>69</v>
      </c>
      <c r="K117" s="130"/>
    </row>
    <row r="118" spans="1:11" hidden="1">
      <c r="A118" s="169" t="s">
        <v>34</v>
      </c>
      <c r="B118" s="149" t="s">
        <v>65</v>
      </c>
      <c r="C118" s="151"/>
      <c r="D118" s="151"/>
      <c r="E118" s="151"/>
      <c r="F118" s="130"/>
      <c r="G118" s="130" t="s">
        <v>85</v>
      </c>
      <c r="H118" s="130" t="s">
        <v>200</v>
      </c>
      <c r="I118" s="130" t="s">
        <v>201</v>
      </c>
      <c r="J118" s="130" t="s">
        <v>69</v>
      </c>
      <c r="K118" s="130"/>
    </row>
    <row r="119" spans="1:11" hidden="1">
      <c r="A119" s="169" t="s">
        <v>34</v>
      </c>
      <c r="B119" s="149" t="s">
        <v>65</v>
      </c>
      <c r="C119" s="151"/>
      <c r="D119" s="151"/>
      <c r="E119" s="151"/>
      <c r="F119" s="130"/>
      <c r="G119" s="130" t="s">
        <v>85</v>
      </c>
      <c r="H119" s="130" t="s">
        <v>202</v>
      </c>
      <c r="I119" s="130" t="s">
        <v>137</v>
      </c>
      <c r="J119" s="130" t="s">
        <v>69</v>
      </c>
      <c r="K119" s="130"/>
    </row>
    <row r="120" spans="1:11" hidden="1">
      <c r="A120" s="169" t="s">
        <v>34</v>
      </c>
      <c r="B120" s="149" t="s">
        <v>65</v>
      </c>
      <c r="C120" s="151"/>
      <c r="D120" s="151"/>
      <c r="E120" s="151"/>
      <c r="F120" s="130"/>
      <c r="G120" s="130" t="s">
        <v>85</v>
      </c>
      <c r="H120" s="130" t="s">
        <v>203</v>
      </c>
      <c r="I120" s="130" t="s">
        <v>204</v>
      </c>
      <c r="J120" s="130" t="s">
        <v>69</v>
      </c>
      <c r="K120" s="130"/>
    </row>
    <row r="121" spans="1:11" hidden="1">
      <c r="A121" s="169" t="s">
        <v>34</v>
      </c>
      <c r="B121" s="149" t="s">
        <v>65</v>
      </c>
      <c r="C121" s="151"/>
      <c r="D121" s="151"/>
      <c r="E121" s="151"/>
      <c r="F121" s="130"/>
      <c r="G121" s="130" t="s">
        <v>85</v>
      </c>
      <c r="H121" s="130" t="s">
        <v>205</v>
      </c>
      <c r="I121" s="130" t="s">
        <v>125</v>
      </c>
      <c r="J121" s="130" t="s">
        <v>69</v>
      </c>
      <c r="K121" s="130"/>
    </row>
    <row r="122" spans="1:11" hidden="1">
      <c r="A122" s="169" t="s">
        <v>34</v>
      </c>
      <c r="B122" s="149" t="s">
        <v>65</v>
      </c>
      <c r="C122" s="151"/>
      <c r="D122" s="151"/>
      <c r="E122" s="151"/>
      <c r="F122" s="130"/>
      <c r="G122" s="130" t="s">
        <v>85</v>
      </c>
      <c r="H122" s="130" t="s">
        <v>206</v>
      </c>
      <c r="I122" s="130">
        <v>83</v>
      </c>
      <c r="J122" s="130" t="s">
        <v>69</v>
      </c>
      <c r="K122" s="130"/>
    </row>
    <row r="123" spans="1:11" hidden="1">
      <c r="A123" s="169" t="s">
        <v>34</v>
      </c>
      <c r="B123" s="149" t="s">
        <v>65</v>
      </c>
      <c r="C123" s="151"/>
      <c r="D123" s="151"/>
      <c r="E123" s="151"/>
      <c r="F123" s="130"/>
      <c r="G123" s="130" t="s">
        <v>85</v>
      </c>
      <c r="H123" s="130" t="s">
        <v>207</v>
      </c>
      <c r="I123" s="130" t="s">
        <v>208</v>
      </c>
      <c r="J123" s="130" t="s">
        <v>69</v>
      </c>
      <c r="K123" s="130"/>
    </row>
    <row r="124" spans="1:11" hidden="1">
      <c r="A124" s="169" t="s">
        <v>34</v>
      </c>
      <c r="B124" s="149" t="s">
        <v>65</v>
      </c>
      <c r="C124" s="151"/>
      <c r="D124" s="151"/>
      <c r="E124" s="151"/>
      <c r="F124" s="130"/>
      <c r="G124" s="130" t="s">
        <v>85</v>
      </c>
      <c r="H124" s="130" t="s">
        <v>209</v>
      </c>
      <c r="I124" s="130" t="s">
        <v>130</v>
      </c>
      <c r="J124" s="130" t="s">
        <v>69</v>
      </c>
      <c r="K124" s="130"/>
    </row>
    <row r="125" spans="1:11" hidden="1">
      <c r="A125" s="169" t="s">
        <v>34</v>
      </c>
      <c r="B125" s="149" t="s">
        <v>65</v>
      </c>
      <c r="C125" s="151"/>
      <c r="D125" s="151"/>
      <c r="E125" s="151"/>
      <c r="F125" s="130"/>
      <c r="G125" s="130" t="s">
        <v>85</v>
      </c>
      <c r="H125" s="130" t="s">
        <v>210</v>
      </c>
      <c r="I125" s="130">
        <v>0.64</v>
      </c>
      <c r="J125" s="130" t="s">
        <v>69</v>
      </c>
      <c r="K125" s="130"/>
    </row>
    <row r="126" spans="1:11" hidden="1">
      <c r="A126" s="169" t="s">
        <v>34</v>
      </c>
      <c r="B126" s="149" t="s">
        <v>65</v>
      </c>
      <c r="C126" s="151"/>
      <c r="D126" s="151"/>
      <c r="E126" s="151"/>
      <c r="F126" s="130"/>
      <c r="G126" s="130" t="s">
        <v>85</v>
      </c>
      <c r="H126" s="130" t="s">
        <v>211</v>
      </c>
      <c r="I126" s="130">
        <v>0</v>
      </c>
      <c r="J126" s="130" t="s">
        <v>69</v>
      </c>
      <c r="K126" s="130"/>
    </row>
    <row r="127" spans="1:11" hidden="1">
      <c r="A127" s="169" t="s">
        <v>34</v>
      </c>
      <c r="B127" s="149" t="s">
        <v>65</v>
      </c>
      <c r="C127" s="151"/>
      <c r="D127" s="151"/>
      <c r="E127" s="151"/>
      <c r="F127" s="130"/>
      <c r="G127" s="130" t="s">
        <v>85</v>
      </c>
      <c r="H127" s="130" t="s">
        <v>212</v>
      </c>
      <c r="I127" s="130">
        <v>0</v>
      </c>
      <c r="J127" s="130" t="s">
        <v>69</v>
      </c>
      <c r="K127" s="130"/>
    </row>
    <row r="128" spans="1:11" hidden="1">
      <c r="A128" s="169" t="s">
        <v>34</v>
      </c>
      <c r="B128" s="149" t="s">
        <v>65</v>
      </c>
      <c r="C128" s="151"/>
      <c r="D128" s="151"/>
      <c r="E128" s="151"/>
      <c r="F128" s="130"/>
      <c r="G128" s="130" t="s">
        <v>85</v>
      </c>
      <c r="H128" s="130" t="s">
        <v>213</v>
      </c>
      <c r="I128" s="130" t="s">
        <v>214</v>
      </c>
      <c r="J128" s="130" t="s">
        <v>69</v>
      </c>
      <c r="K128" s="130"/>
    </row>
    <row r="129" spans="1:11" hidden="1">
      <c r="A129" s="169" t="s">
        <v>34</v>
      </c>
      <c r="B129" s="149" t="s">
        <v>65</v>
      </c>
      <c r="C129" s="151"/>
      <c r="D129" s="151"/>
      <c r="E129" s="151"/>
      <c r="F129" s="130"/>
      <c r="G129" s="130" t="s">
        <v>85</v>
      </c>
      <c r="H129" s="130" t="s">
        <v>215</v>
      </c>
      <c r="I129" s="130" t="s">
        <v>137</v>
      </c>
      <c r="J129" s="130" t="s">
        <v>69</v>
      </c>
      <c r="K129" s="130"/>
    </row>
    <row r="130" spans="1:11" hidden="1">
      <c r="A130" s="169" t="s">
        <v>34</v>
      </c>
      <c r="B130" s="149" t="s">
        <v>65</v>
      </c>
      <c r="C130" s="151"/>
      <c r="D130" s="151"/>
      <c r="E130" s="151"/>
      <c r="F130" s="130"/>
      <c r="G130" s="130" t="s">
        <v>85</v>
      </c>
      <c r="H130" s="130" t="s">
        <v>216</v>
      </c>
      <c r="I130" s="130" t="s">
        <v>217</v>
      </c>
      <c r="J130" s="130" t="s">
        <v>69</v>
      </c>
      <c r="K130" s="130"/>
    </row>
    <row r="131" spans="1:11" hidden="1">
      <c r="A131" s="169" t="s">
        <v>34</v>
      </c>
      <c r="B131" s="149" t="s">
        <v>65</v>
      </c>
      <c r="C131" s="151"/>
      <c r="D131" s="151"/>
      <c r="E131" s="151"/>
      <c r="F131" s="130"/>
      <c r="G131" s="130" t="s">
        <v>85</v>
      </c>
      <c r="H131" s="130" t="s">
        <v>218</v>
      </c>
      <c r="I131" s="130" t="s">
        <v>125</v>
      </c>
      <c r="J131" s="130" t="s">
        <v>69</v>
      </c>
      <c r="K131" s="130"/>
    </row>
    <row r="132" spans="1:11" hidden="1">
      <c r="A132" s="169" t="s">
        <v>34</v>
      </c>
      <c r="B132" s="149" t="s">
        <v>65</v>
      </c>
      <c r="C132" s="151"/>
      <c r="D132" s="151"/>
      <c r="E132" s="151"/>
      <c r="F132" s="130"/>
      <c r="G132" s="130" t="s">
        <v>85</v>
      </c>
      <c r="H132" s="130" t="s">
        <v>219</v>
      </c>
      <c r="I132" s="130">
        <v>82</v>
      </c>
      <c r="J132" s="130" t="s">
        <v>69</v>
      </c>
      <c r="K132" s="130"/>
    </row>
    <row r="133" spans="1:11" hidden="1">
      <c r="A133" s="169" t="s">
        <v>34</v>
      </c>
      <c r="B133" s="149" t="s">
        <v>65</v>
      </c>
      <c r="C133" s="151"/>
      <c r="D133" s="151"/>
      <c r="E133" s="151"/>
      <c r="F133" s="130"/>
      <c r="G133" s="130" t="s">
        <v>85</v>
      </c>
      <c r="H133" s="130" t="s">
        <v>220</v>
      </c>
      <c r="I133" s="130" t="s">
        <v>221</v>
      </c>
      <c r="J133" s="130" t="s">
        <v>69</v>
      </c>
      <c r="K133" s="130"/>
    </row>
    <row r="134" spans="1:11" hidden="1">
      <c r="A134" s="169" t="s">
        <v>34</v>
      </c>
      <c r="B134" s="149" t="s">
        <v>65</v>
      </c>
      <c r="C134" s="151"/>
      <c r="D134" s="151"/>
      <c r="E134" s="151"/>
      <c r="F134" s="130"/>
      <c r="G134" s="130" t="s">
        <v>85</v>
      </c>
      <c r="H134" s="130" t="s">
        <v>222</v>
      </c>
      <c r="I134" s="130" t="s">
        <v>130</v>
      </c>
      <c r="J134" s="130" t="s">
        <v>69</v>
      </c>
      <c r="K134" s="130"/>
    </row>
    <row r="135" spans="1:11" hidden="1">
      <c r="A135" s="169" t="s">
        <v>34</v>
      </c>
      <c r="B135" s="149" t="s">
        <v>65</v>
      </c>
      <c r="C135" s="151"/>
      <c r="D135" s="151"/>
      <c r="E135" s="151"/>
      <c r="F135" s="130"/>
      <c r="G135" s="130" t="s">
        <v>85</v>
      </c>
      <c r="H135" s="130" t="s">
        <v>223</v>
      </c>
      <c r="I135" s="130">
        <v>0.14000000000000001</v>
      </c>
      <c r="J135" s="130" t="s">
        <v>69</v>
      </c>
      <c r="K135" s="130"/>
    </row>
    <row r="136" spans="1:11" hidden="1">
      <c r="A136" s="169" t="s">
        <v>34</v>
      </c>
      <c r="B136" s="149" t="s">
        <v>65</v>
      </c>
      <c r="C136" s="151"/>
      <c r="D136" s="151"/>
      <c r="E136" s="151"/>
      <c r="F136" s="130"/>
      <c r="G136" s="130" t="s">
        <v>85</v>
      </c>
      <c r="H136" s="130" t="s">
        <v>224</v>
      </c>
      <c r="I136" s="130">
        <v>0</v>
      </c>
      <c r="J136" s="130" t="s">
        <v>69</v>
      </c>
      <c r="K136" s="130"/>
    </row>
    <row r="137" spans="1:11" hidden="1">
      <c r="A137" s="169" t="s">
        <v>34</v>
      </c>
      <c r="B137" s="149" t="s">
        <v>65</v>
      </c>
      <c r="C137" s="151"/>
      <c r="D137" s="151"/>
      <c r="E137" s="151"/>
      <c r="F137" s="130"/>
      <c r="G137" s="130" t="s">
        <v>85</v>
      </c>
      <c r="H137" s="130" t="s">
        <v>225</v>
      </c>
      <c r="I137" s="130">
        <v>0</v>
      </c>
      <c r="J137" s="130" t="s">
        <v>69</v>
      </c>
      <c r="K137" s="130"/>
    </row>
    <row r="138" spans="1:11" hidden="1">
      <c r="A138" s="169" t="s">
        <v>34</v>
      </c>
      <c r="B138" s="149" t="s">
        <v>65</v>
      </c>
      <c r="C138" s="151"/>
      <c r="D138" s="151"/>
      <c r="E138" s="151"/>
      <c r="F138" s="130"/>
      <c r="G138" s="130" t="s">
        <v>85</v>
      </c>
      <c r="H138" s="130" t="s">
        <v>226</v>
      </c>
      <c r="I138" s="130" t="s">
        <v>227</v>
      </c>
      <c r="J138" s="130" t="s">
        <v>69</v>
      </c>
      <c r="K138" s="130"/>
    </row>
    <row r="139" spans="1:11" hidden="1">
      <c r="A139" s="169" t="s">
        <v>34</v>
      </c>
      <c r="B139" s="149" t="s">
        <v>65</v>
      </c>
      <c r="C139" s="151"/>
      <c r="D139" s="151"/>
      <c r="E139" s="151"/>
      <c r="F139" s="130"/>
      <c r="G139" s="130" t="s">
        <v>85</v>
      </c>
      <c r="H139" s="130" t="s">
        <v>228</v>
      </c>
      <c r="I139" s="130" t="s">
        <v>137</v>
      </c>
      <c r="J139" s="130" t="s">
        <v>69</v>
      </c>
      <c r="K139" s="130"/>
    </row>
    <row r="140" spans="1:11" ht="26.45" hidden="1">
      <c r="A140" s="169" t="s">
        <v>34</v>
      </c>
      <c r="B140" s="149" t="s">
        <v>65</v>
      </c>
      <c r="C140" s="151"/>
      <c r="D140" s="151"/>
      <c r="E140" s="151"/>
      <c r="F140" s="130"/>
      <c r="G140" s="130" t="s">
        <v>85</v>
      </c>
      <c r="H140" s="130" t="s">
        <v>229</v>
      </c>
      <c r="I140" s="130" t="s">
        <v>230</v>
      </c>
      <c r="J140" s="130" t="s">
        <v>69</v>
      </c>
      <c r="K140" s="130"/>
    </row>
    <row r="141" spans="1:11" ht="26.45" hidden="1">
      <c r="A141" s="169" t="s">
        <v>34</v>
      </c>
      <c r="B141" s="149" t="s">
        <v>65</v>
      </c>
      <c r="C141" s="151"/>
      <c r="D141" s="151"/>
      <c r="E141" s="151"/>
      <c r="F141" s="130"/>
      <c r="G141" s="130" t="s">
        <v>85</v>
      </c>
      <c r="H141" s="130" t="s">
        <v>231</v>
      </c>
      <c r="I141" s="130" t="s">
        <v>232</v>
      </c>
      <c r="J141" s="130" t="s">
        <v>69</v>
      </c>
      <c r="K141" s="130"/>
    </row>
    <row r="142" spans="1:11" ht="26.45" hidden="1">
      <c r="A142" s="169" t="s">
        <v>34</v>
      </c>
      <c r="B142" s="149" t="s">
        <v>65</v>
      </c>
      <c r="C142" s="151"/>
      <c r="D142" s="151"/>
      <c r="E142" s="151"/>
      <c r="F142" s="130"/>
      <c r="G142" s="130" t="s">
        <v>85</v>
      </c>
      <c r="H142" s="130" t="s">
        <v>233</v>
      </c>
      <c r="I142" s="130" t="s">
        <v>234</v>
      </c>
      <c r="J142" s="130" t="s">
        <v>69</v>
      </c>
      <c r="K142" s="130"/>
    </row>
    <row r="143" spans="1:11" ht="26.45" hidden="1">
      <c r="A143" s="169" t="s">
        <v>34</v>
      </c>
      <c r="B143" s="149" t="s">
        <v>65</v>
      </c>
      <c r="C143" s="151"/>
      <c r="D143" s="151"/>
      <c r="E143" s="151"/>
      <c r="F143" s="130"/>
      <c r="G143" s="130" t="s">
        <v>85</v>
      </c>
      <c r="H143" s="130" t="s">
        <v>235</v>
      </c>
      <c r="I143" s="130" t="s">
        <v>236</v>
      </c>
      <c r="J143" s="130" t="s">
        <v>69</v>
      </c>
      <c r="K143" s="130"/>
    </row>
    <row r="144" spans="1:11" hidden="1">
      <c r="A144" s="169" t="s">
        <v>34</v>
      </c>
      <c r="B144" s="149" t="s">
        <v>65</v>
      </c>
      <c r="C144" s="151"/>
      <c r="D144" s="151"/>
      <c r="E144" s="151"/>
      <c r="F144" s="130"/>
      <c r="G144" s="130" t="s">
        <v>85</v>
      </c>
      <c r="H144" s="130" t="s">
        <v>237</v>
      </c>
      <c r="I144" s="130" t="s">
        <v>238</v>
      </c>
      <c r="J144" s="130" t="s">
        <v>69</v>
      </c>
      <c r="K144" s="130"/>
    </row>
    <row r="145" spans="1:11" ht="26.45" hidden="1">
      <c r="A145" s="169" t="s">
        <v>34</v>
      </c>
      <c r="B145" s="149" t="s">
        <v>65</v>
      </c>
      <c r="C145" s="151"/>
      <c r="D145" s="151"/>
      <c r="E145" s="151"/>
      <c r="F145" s="130"/>
      <c r="G145" s="130" t="s">
        <v>85</v>
      </c>
      <c r="H145" s="130" t="s">
        <v>239</v>
      </c>
      <c r="I145" s="170" t="s">
        <v>240</v>
      </c>
      <c r="J145" s="130">
        <v>0</v>
      </c>
      <c r="K145" s="130"/>
    </row>
    <row r="146" spans="1:11" hidden="1">
      <c r="A146" s="169" t="s">
        <v>34</v>
      </c>
      <c r="B146" s="149" t="s">
        <v>65</v>
      </c>
      <c r="C146" s="151"/>
      <c r="D146" s="151"/>
      <c r="E146" s="151"/>
      <c r="F146" s="130"/>
      <c r="G146" s="130" t="s">
        <v>85</v>
      </c>
      <c r="H146" s="130" t="s">
        <v>241</v>
      </c>
      <c r="I146" s="130" t="s">
        <v>137</v>
      </c>
      <c r="J146" s="130" t="s">
        <v>69</v>
      </c>
      <c r="K146" s="130"/>
    </row>
    <row r="147" spans="1:11" hidden="1">
      <c r="A147" s="169" t="s">
        <v>34</v>
      </c>
      <c r="B147" s="149" t="s">
        <v>65</v>
      </c>
      <c r="C147" s="151"/>
      <c r="D147" s="151"/>
      <c r="E147" s="151"/>
      <c r="F147" s="130"/>
      <c r="G147" s="130" t="s">
        <v>85</v>
      </c>
      <c r="H147" s="130" t="s">
        <v>242</v>
      </c>
      <c r="I147" s="130" t="s">
        <v>137</v>
      </c>
      <c r="J147" s="130" t="s">
        <v>69</v>
      </c>
      <c r="K147" s="130"/>
    </row>
    <row r="148" spans="1:11" hidden="1">
      <c r="A148" s="169" t="s">
        <v>34</v>
      </c>
      <c r="B148" s="149" t="s">
        <v>65</v>
      </c>
      <c r="C148" s="151"/>
      <c r="D148" s="151"/>
      <c r="E148" s="151"/>
      <c r="F148" s="130"/>
      <c r="G148" s="130" t="s">
        <v>85</v>
      </c>
      <c r="H148" s="130" t="s">
        <v>243</v>
      </c>
      <c r="I148" s="130" t="s">
        <v>137</v>
      </c>
      <c r="J148" s="130" t="s">
        <v>69</v>
      </c>
      <c r="K148" s="130"/>
    </row>
    <row r="149" spans="1:11" hidden="1">
      <c r="A149" s="169" t="s">
        <v>34</v>
      </c>
      <c r="B149" s="149" t="s">
        <v>65</v>
      </c>
      <c r="C149" s="151"/>
      <c r="D149" s="151"/>
      <c r="E149" s="151"/>
      <c r="F149" s="130"/>
      <c r="G149" s="130" t="s">
        <v>85</v>
      </c>
      <c r="H149" s="130" t="s">
        <v>244</v>
      </c>
      <c r="I149" s="130" t="s">
        <v>137</v>
      </c>
      <c r="J149" s="130" t="s">
        <v>69</v>
      </c>
      <c r="K149" s="130"/>
    </row>
    <row r="150" spans="1:11" hidden="1">
      <c r="A150" s="169" t="s">
        <v>34</v>
      </c>
      <c r="B150" s="149" t="s">
        <v>65</v>
      </c>
      <c r="C150" s="151"/>
      <c r="D150" s="151"/>
      <c r="E150" s="151"/>
      <c r="F150" s="130"/>
      <c r="G150" s="130" t="s">
        <v>85</v>
      </c>
      <c r="H150" s="130" t="s">
        <v>245</v>
      </c>
      <c r="I150" s="130" t="s">
        <v>137</v>
      </c>
      <c r="J150" s="130" t="s">
        <v>69</v>
      </c>
      <c r="K150" s="130"/>
    </row>
    <row r="151" spans="1:11" hidden="1">
      <c r="A151" s="169" t="s">
        <v>34</v>
      </c>
      <c r="B151" s="149" t="s">
        <v>65</v>
      </c>
      <c r="C151" s="151"/>
      <c r="D151" s="151"/>
      <c r="E151" s="151"/>
      <c r="F151" s="130"/>
      <c r="G151" s="130" t="s">
        <v>85</v>
      </c>
      <c r="H151" s="130" t="s">
        <v>246</v>
      </c>
      <c r="I151" s="130" t="s">
        <v>137</v>
      </c>
      <c r="J151" s="130" t="s">
        <v>69</v>
      </c>
      <c r="K151" s="130"/>
    </row>
    <row r="152" spans="1:11" hidden="1">
      <c r="A152" s="169" t="s">
        <v>34</v>
      </c>
      <c r="B152" s="149" t="s">
        <v>65</v>
      </c>
      <c r="C152" s="151"/>
      <c r="D152" s="151"/>
      <c r="E152" s="151"/>
      <c r="F152" s="130"/>
      <c r="G152" s="130" t="s">
        <v>85</v>
      </c>
      <c r="H152" s="130" t="s">
        <v>247</v>
      </c>
      <c r="I152" s="130" t="s">
        <v>137</v>
      </c>
      <c r="J152" s="130" t="s">
        <v>69</v>
      </c>
      <c r="K152" s="130"/>
    </row>
    <row r="153" spans="1:11" hidden="1">
      <c r="A153" s="169" t="s">
        <v>34</v>
      </c>
      <c r="B153" s="149" t="s">
        <v>65</v>
      </c>
      <c r="C153" s="151"/>
      <c r="D153" s="151"/>
      <c r="E153" s="151"/>
      <c r="F153" s="130"/>
      <c r="G153" s="130" t="s">
        <v>85</v>
      </c>
      <c r="H153" s="130" t="s">
        <v>248</v>
      </c>
      <c r="I153" s="130" t="s">
        <v>137</v>
      </c>
      <c r="J153" s="130" t="s">
        <v>69</v>
      </c>
      <c r="K153" s="130"/>
    </row>
    <row r="154" spans="1:11" hidden="1">
      <c r="A154" s="169" t="s">
        <v>34</v>
      </c>
      <c r="B154" s="149" t="s">
        <v>65</v>
      </c>
      <c r="C154" s="151"/>
      <c r="D154" s="151"/>
      <c r="E154" s="151"/>
      <c r="F154" s="130"/>
      <c r="G154" s="130" t="s">
        <v>85</v>
      </c>
      <c r="H154" s="130" t="s">
        <v>249</v>
      </c>
      <c r="I154" s="130" t="s">
        <v>113</v>
      </c>
      <c r="J154" s="130" t="s">
        <v>69</v>
      </c>
      <c r="K154" s="130"/>
    </row>
    <row r="155" spans="1:11" s="168" customFormat="1" ht="26.45" hidden="1">
      <c r="A155" s="169" t="s">
        <v>34</v>
      </c>
      <c r="B155" s="149" t="s">
        <v>65</v>
      </c>
      <c r="C155" s="171">
        <v>43292</v>
      </c>
      <c r="D155" s="130" t="s">
        <v>250</v>
      </c>
      <c r="E155" s="130"/>
      <c r="F155" s="130"/>
      <c r="G155" s="130" t="s">
        <v>85</v>
      </c>
      <c r="H155" s="130" t="s">
        <v>239</v>
      </c>
      <c r="I155" s="130" t="s">
        <v>251</v>
      </c>
      <c r="J155" s="130" t="s">
        <v>252</v>
      </c>
      <c r="K155" s="130"/>
    </row>
    <row r="156" spans="1:11" ht="26.45" hidden="1">
      <c r="A156" s="169" t="s">
        <v>34</v>
      </c>
      <c r="B156" s="149" t="s">
        <v>65</v>
      </c>
      <c r="C156" s="171">
        <v>43292</v>
      </c>
      <c r="D156" s="130" t="s">
        <v>250</v>
      </c>
      <c r="E156" s="151"/>
      <c r="F156" s="130"/>
      <c r="G156" s="130" t="s">
        <v>85</v>
      </c>
      <c r="H156" s="130" t="s">
        <v>229</v>
      </c>
      <c r="I156" s="130" t="s">
        <v>253</v>
      </c>
      <c r="J156" s="130" t="s">
        <v>230</v>
      </c>
      <c r="K156" s="151"/>
    </row>
    <row r="157" spans="1:11" ht="26.45" hidden="1">
      <c r="A157" s="169" t="s">
        <v>34</v>
      </c>
      <c r="B157" s="149" t="s">
        <v>65</v>
      </c>
      <c r="C157" s="171">
        <v>43292</v>
      </c>
      <c r="D157" s="130" t="s">
        <v>250</v>
      </c>
      <c r="E157" s="151"/>
      <c r="F157" s="130"/>
      <c r="G157" s="130" t="s">
        <v>85</v>
      </c>
      <c r="H157" s="130" t="s">
        <v>254</v>
      </c>
      <c r="I157" s="130" t="s">
        <v>255</v>
      </c>
      <c r="J157" s="130" t="s">
        <v>232</v>
      </c>
      <c r="K157" s="151"/>
    </row>
    <row r="158" spans="1:11" ht="26.45" hidden="1">
      <c r="A158" s="169" t="s">
        <v>34</v>
      </c>
      <c r="B158" s="149" t="s">
        <v>65</v>
      </c>
      <c r="C158" s="171">
        <v>43292</v>
      </c>
      <c r="D158" s="130" t="s">
        <v>250</v>
      </c>
      <c r="E158" s="151"/>
      <c r="F158" s="130"/>
      <c r="G158" s="130" t="s">
        <v>85</v>
      </c>
      <c r="H158" s="130" t="s">
        <v>235</v>
      </c>
      <c r="I158" s="130" t="s">
        <v>256</v>
      </c>
      <c r="J158" s="130" t="s">
        <v>69</v>
      </c>
      <c r="K158" s="151"/>
    </row>
    <row r="159" spans="1:11" hidden="1">
      <c r="A159" s="169" t="s">
        <v>34</v>
      </c>
      <c r="B159" s="149" t="s">
        <v>65</v>
      </c>
      <c r="C159" s="171">
        <v>43292</v>
      </c>
      <c r="D159" s="130" t="s">
        <v>250</v>
      </c>
      <c r="E159" s="151"/>
      <c r="F159" s="130"/>
      <c r="G159" s="130" t="s">
        <v>85</v>
      </c>
      <c r="H159" s="130" t="e">
        <v>#REF!</v>
      </c>
      <c r="I159" s="130"/>
      <c r="J159" s="130"/>
      <c r="K159" s="151"/>
    </row>
    <row r="160" spans="1:11" hidden="1">
      <c r="A160" s="169" t="s">
        <v>34</v>
      </c>
      <c r="B160" s="149" t="s">
        <v>65</v>
      </c>
      <c r="C160" s="171">
        <v>43292</v>
      </c>
      <c r="D160" s="130" t="s">
        <v>250</v>
      </c>
      <c r="E160" s="151"/>
      <c r="F160" s="130"/>
      <c r="G160" s="130" t="s">
        <v>85</v>
      </c>
      <c r="H160" s="130" t="s">
        <v>257</v>
      </c>
      <c r="I160" s="130" t="s">
        <v>258</v>
      </c>
      <c r="J160" s="130" t="s">
        <v>69</v>
      </c>
      <c r="K160" s="151"/>
    </row>
    <row r="161" spans="1:11" hidden="1">
      <c r="A161" s="169" t="s">
        <v>34</v>
      </c>
      <c r="B161" s="149" t="s">
        <v>65</v>
      </c>
      <c r="C161" s="171">
        <v>43292</v>
      </c>
      <c r="D161" s="130" t="s">
        <v>250</v>
      </c>
      <c r="E161" s="151"/>
      <c r="F161" s="130"/>
      <c r="G161" s="130" t="s">
        <v>85</v>
      </c>
      <c r="H161" s="130" t="s">
        <v>259</v>
      </c>
      <c r="I161" s="130"/>
      <c r="J161" s="130"/>
      <c r="K161" s="151"/>
    </row>
    <row r="162" spans="1:11" hidden="1">
      <c r="A162" s="169" t="s">
        <v>34</v>
      </c>
      <c r="B162" s="149" t="s">
        <v>65</v>
      </c>
      <c r="C162" s="171">
        <v>43292</v>
      </c>
      <c r="D162" s="130" t="s">
        <v>250</v>
      </c>
      <c r="E162" s="151"/>
      <c r="F162" s="130"/>
      <c r="G162" s="130" t="s">
        <v>85</v>
      </c>
      <c r="H162" s="130" t="s">
        <v>260</v>
      </c>
      <c r="I162" s="130"/>
      <c r="J162" s="130"/>
      <c r="K162" s="151"/>
    </row>
    <row r="163" spans="1:11" hidden="1">
      <c r="A163" s="169" t="s">
        <v>34</v>
      </c>
      <c r="B163" s="149" t="s">
        <v>65</v>
      </c>
      <c r="C163" s="171">
        <v>43292</v>
      </c>
      <c r="D163" s="130" t="s">
        <v>250</v>
      </c>
      <c r="E163" s="151"/>
      <c r="F163" s="130"/>
      <c r="G163" s="130" t="s">
        <v>85</v>
      </c>
      <c r="H163" s="130" t="s">
        <v>261</v>
      </c>
      <c r="I163" s="130"/>
      <c r="J163" s="130"/>
      <c r="K163" s="151"/>
    </row>
    <row r="164" spans="1:11" ht="26.45" hidden="1">
      <c r="A164" s="169" t="s">
        <v>34</v>
      </c>
      <c r="B164" s="149" t="s">
        <v>65</v>
      </c>
      <c r="C164" s="171">
        <v>43292</v>
      </c>
      <c r="D164" s="130" t="s">
        <v>250</v>
      </c>
      <c r="E164" s="151"/>
      <c r="F164" s="130"/>
      <c r="G164" s="130" t="s">
        <v>85</v>
      </c>
      <c r="H164" s="130" t="s">
        <v>254</v>
      </c>
      <c r="I164" s="130" t="s">
        <v>256</v>
      </c>
      <c r="J164" s="130" t="s">
        <v>255</v>
      </c>
      <c r="K164" s="151"/>
    </row>
    <row r="165" spans="1:11" ht="26.45" hidden="1">
      <c r="A165" s="169" t="s">
        <v>34</v>
      </c>
      <c r="B165" s="149" t="s">
        <v>65</v>
      </c>
      <c r="C165" s="171">
        <v>43292</v>
      </c>
      <c r="D165" s="130" t="s">
        <v>250</v>
      </c>
      <c r="E165" s="151"/>
      <c r="F165" s="130"/>
      <c r="G165" s="130" t="s">
        <v>85</v>
      </c>
      <c r="H165" s="130" t="s">
        <v>235</v>
      </c>
      <c r="I165" s="130" t="s">
        <v>255</v>
      </c>
      <c r="J165" s="130" t="s">
        <v>256</v>
      </c>
      <c r="K165" s="151"/>
    </row>
    <row r="166" spans="1:11" hidden="1">
      <c r="A166" s="169" t="s">
        <v>34</v>
      </c>
      <c r="B166" s="149" t="s">
        <v>65</v>
      </c>
      <c r="C166" s="171">
        <v>43292</v>
      </c>
      <c r="D166" s="130" t="s">
        <v>250</v>
      </c>
      <c r="E166" s="151"/>
      <c r="F166" s="130"/>
      <c r="G166" s="130" t="s">
        <v>85</v>
      </c>
      <c r="H166" s="130" t="s">
        <v>262</v>
      </c>
      <c r="I166" s="130" t="s">
        <v>263</v>
      </c>
      <c r="J166" s="130" t="s">
        <v>238</v>
      </c>
      <c r="K166" s="151"/>
    </row>
    <row r="167" spans="1:11" hidden="1">
      <c r="A167" s="169" t="s">
        <v>34</v>
      </c>
      <c r="B167" s="149" t="s">
        <v>65</v>
      </c>
      <c r="C167" s="171">
        <v>43292</v>
      </c>
      <c r="D167" s="130" t="s">
        <v>250</v>
      </c>
      <c r="E167" s="151"/>
      <c r="F167" s="130"/>
      <c r="G167" s="130" t="s">
        <v>85</v>
      </c>
      <c r="H167" s="130" t="s">
        <v>264</v>
      </c>
      <c r="I167" s="130" t="s">
        <v>265</v>
      </c>
      <c r="J167" s="130" t="s">
        <v>69</v>
      </c>
      <c r="K167" s="151"/>
    </row>
    <row r="168" spans="1:11" hidden="1">
      <c r="A168" s="169" t="s">
        <v>34</v>
      </c>
      <c r="B168" s="149" t="s">
        <v>65</v>
      </c>
      <c r="C168" s="171">
        <v>43292</v>
      </c>
      <c r="D168" s="130" t="s">
        <v>250</v>
      </c>
      <c r="E168" s="151"/>
      <c r="F168" s="130"/>
      <c r="G168" s="130" t="s">
        <v>85</v>
      </c>
      <c r="H168" s="130" t="s">
        <v>266</v>
      </c>
      <c r="I168" s="130" t="s">
        <v>267</v>
      </c>
      <c r="J168" s="130" t="s">
        <v>69</v>
      </c>
      <c r="K168" s="151"/>
    </row>
    <row r="169" spans="1:11" hidden="1">
      <c r="A169" s="169" t="s">
        <v>34</v>
      </c>
      <c r="B169" s="149" t="s">
        <v>65</v>
      </c>
      <c r="C169" s="171">
        <v>43292</v>
      </c>
      <c r="D169" s="130" t="s">
        <v>250</v>
      </c>
      <c r="E169" s="151"/>
      <c r="F169" s="130"/>
      <c r="G169" s="130" t="s">
        <v>85</v>
      </c>
      <c r="H169" s="130" t="s">
        <v>268</v>
      </c>
      <c r="I169" s="130" t="s">
        <v>269</v>
      </c>
      <c r="J169" s="130" t="s">
        <v>69</v>
      </c>
      <c r="K169" s="151"/>
    </row>
    <row r="170" spans="1:11" hidden="1">
      <c r="A170" s="169" t="s">
        <v>34</v>
      </c>
      <c r="B170" s="149" t="s">
        <v>65</v>
      </c>
      <c r="C170" s="171">
        <v>43292</v>
      </c>
      <c r="D170" s="130" t="s">
        <v>250</v>
      </c>
      <c r="E170" s="151"/>
      <c r="F170" s="130"/>
      <c r="G170" s="130" t="s">
        <v>85</v>
      </c>
      <c r="H170" s="130" t="s">
        <v>270</v>
      </c>
      <c r="I170" s="130" t="s">
        <v>271</v>
      </c>
      <c r="J170" s="130" t="s">
        <v>69</v>
      </c>
      <c r="K170" s="151"/>
    </row>
    <row r="171" spans="1:11" hidden="1">
      <c r="A171" s="169" t="s">
        <v>34</v>
      </c>
      <c r="B171" s="149" t="s">
        <v>65</v>
      </c>
      <c r="C171" s="171">
        <v>43292</v>
      </c>
      <c r="D171" s="130" t="s">
        <v>250</v>
      </c>
      <c r="E171" s="151"/>
      <c r="F171" s="130"/>
      <c r="G171" s="130" t="s">
        <v>85</v>
      </c>
      <c r="H171" s="130" t="s">
        <v>272</v>
      </c>
      <c r="I171" s="130" t="s">
        <v>273</v>
      </c>
      <c r="J171" s="130" t="s">
        <v>69</v>
      </c>
      <c r="K171" s="151"/>
    </row>
    <row r="172" spans="1:11" ht="66" hidden="1">
      <c r="A172" s="169" t="s">
        <v>34</v>
      </c>
      <c r="B172" s="149" t="s">
        <v>65</v>
      </c>
      <c r="C172" s="171">
        <v>43292</v>
      </c>
      <c r="D172" s="130" t="s">
        <v>250</v>
      </c>
      <c r="E172" s="151"/>
      <c r="F172" s="130"/>
      <c r="G172" s="130" t="s">
        <v>85</v>
      </c>
      <c r="H172" s="130" t="s">
        <v>274</v>
      </c>
      <c r="I172" s="130" t="s">
        <v>275</v>
      </c>
      <c r="J172" s="130" t="s">
        <v>69</v>
      </c>
      <c r="K172" s="151"/>
    </row>
    <row r="173" spans="1:11" ht="66" hidden="1">
      <c r="A173" s="169" t="s">
        <v>34</v>
      </c>
      <c r="B173" s="149" t="s">
        <v>65</v>
      </c>
      <c r="C173" s="171">
        <v>43292</v>
      </c>
      <c r="D173" s="130" t="s">
        <v>250</v>
      </c>
      <c r="E173" s="151"/>
      <c r="F173" s="130"/>
      <c r="G173" s="130" t="s">
        <v>85</v>
      </c>
      <c r="H173" s="130" t="s">
        <v>276</v>
      </c>
      <c r="I173" s="130" t="s">
        <v>277</v>
      </c>
      <c r="J173" s="130" t="s">
        <v>69</v>
      </c>
      <c r="K173" s="151"/>
    </row>
    <row r="174" spans="1:11" hidden="1">
      <c r="A174" s="169" t="s">
        <v>34</v>
      </c>
      <c r="B174" s="149" t="s">
        <v>65</v>
      </c>
      <c r="C174" s="171">
        <v>43292</v>
      </c>
      <c r="D174" s="130" t="s">
        <v>250</v>
      </c>
      <c r="E174" s="151"/>
      <c r="F174" s="130"/>
      <c r="G174" s="130" t="s">
        <v>85</v>
      </c>
      <c r="H174" s="130" t="s">
        <v>278</v>
      </c>
      <c r="I174" s="130" t="s">
        <v>279</v>
      </c>
      <c r="J174" s="130" t="s">
        <v>69</v>
      </c>
      <c r="K174" s="151"/>
    </row>
    <row r="175" spans="1:11" ht="79.150000000000006" hidden="1">
      <c r="A175" s="169" t="s">
        <v>34</v>
      </c>
      <c r="B175" s="149" t="s">
        <v>65</v>
      </c>
      <c r="C175" s="171">
        <v>43292</v>
      </c>
      <c r="D175" s="130" t="s">
        <v>250</v>
      </c>
      <c r="E175" s="151"/>
      <c r="F175" s="130"/>
      <c r="G175" s="130" t="s">
        <v>85</v>
      </c>
      <c r="H175" s="130" t="s">
        <v>280</v>
      </c>
      <c r="I175" s="130" t="s">
        <v>281</v>
      </c>
      <c r="J175" s="130" t="s">
        <v>69</v>
      </c>
      <c r="K175" s="151"/>
    </row>
    <row r="176" spans="1:11" hidden="1">
      <c r="A176" s="169" t="s">
        <v>34</v>
      </c>
      <c r="B176" s="149" t="s">
        <v>65</v>
      </c>
      <c r="C176" s="171">
        <v>43292</v>
      </c>
      <c r="D176" s="130" t="s">
        <v>250</v>
      </c>
      <c r="E176" s="151"/>
      <c r="F176" s="130"/>
      <c r="G176" s="130" t="s">
        <v>85</v>
      </c>
      <c r="H176" s="130" t="s">
        <v>282</v>
      </c>
      <c r="I176" s="130" t="s">
        <v>283</v>
      </c>
      <c r="J176" s="130" t="s">
        <v>69</v>
      </c>
      <c r="K176" s="151"/>
    </row>
    <row r="177" spans="1:11" hidden="1">
      <c r="A177" s="169" t="s">
        <v>34</v>
      </c>
      <c r="B177" s="149" t="s">
        <v>65</v>
      </c>
      <c r="C177" s="171">
        <v>43292</v>
      </c>
      <c r="D177" s="130" t="s">
        <v>250</v>
      </c>
      <c r="E177" s="151"/>
      <c r="F177" s="130"/>
      <c r="G177" s="130" t="s">
        <v>85</v>
      </c>
      <c r="H177" s="130" t="s">
        <v>284</v>
      </c>
      <c r="I177" s="130" t="s">
        <v>285</v>
      </c>
      <c r="J177" s="130" t="s">
        <v>69</v>
      </c>
      <c r="K177" s="151"/>
    </row>
    <row r="178" spans="1:11" hidden="1">
      <c r="A178" s="169" t="s">
        <v>34</v>
      </c>
      <c r="B178" s="149" t="s">
        <v>65</v>
      </c>
      <c r="C178" s="171">
        <v>43292</v>
      </c>
      <c r="D178" s="130" t="s">
        <v>250</v>
      </c>
      <c r="E178" s="151"/>
      <c r="F178" s="130"/>
      <c r="G178" s="130" t="s">
        <v>85</v>
      </c>
      <c r="H178" s="130" t="s">
        <v>286</v>
      </c>
      <c r="I178" s="130"/>
      <c r="J178" s="130"/>
      <c r="K178" s="151"/>
    </row>
    <row r="179" spans="1:11" hidden="1">
      <c r="A179" s="169" t="s">
        <v>34</v>
      </c>
      <c r="B179" s="149" t="s">
        <v>65</v>
      </c>
      <c r="C179" s="171">
        <v>43292</v>
      </c>
      <c r="D179" s="130" t="s">
        <v>250</v>
      </c>
      <c r="E179" s="151"/>
      <c r="F179" s="130"/>
      <c r="G179" s="130" t="s">
        <v>85</v>
      </c>
      <c r="H179" s="130" t="s">
        <v>231</v>
      </c>
      <c r="I179" s="130" t="s">
        <v>287</v>
      </c>
      <c r="J179" s="130" t="s">
        <v>69</v>
      </c>
      <c r="K179" s="151"/>
    </row>
    <row r="180" spans="1:11" hidden="1">
      <c r="A180" s="169" t="s">
        <v>34</v>
      </c>
      <c r="B180" s="149" t="s">
        <v>65</v>
      </c>
      <c r="C180" s="171">
        <v>43292</v>
      </c>
      <c r="D180" s="130" t="s">
        <v>250</v>
      </c>
      <c r="E180" s="151"/>
      <c r="F180" s="130"/>
      <c r="G180" s="130" t="s">
        <v>85</v>
      </c>
      <c r="H180" s="130" t="s">
        <v>288</v>
      </c>
      <c r="I180" s="130" t="s">
        <v>265</v>
      </c>
      <c r="J180" s="130" t="s">
        <v>69</v>
      </c>
      <c r="K180" s="151"/>
    </row>
    <row r="181" spans="1:11" hidden="1">
      <c r="A181" s="169" t="s">
        <v>34</v>
      </c>
      <c r="B181" s="149" t="s">
        <v>65</v>
      </c>
      <c r="C181" s="171">
        <v>43292</v>
      </c>
      <c r="D181" s="130" t="s">
        <v>250</v>
      </c>
      <c r="E181" s="151"/>
      <c r="F181" s="130"/>
      <c r="G181" s="130" t="s">
        <v>85</v>
      </c>
      <c r="H181" s="130" t="s">
        <v>102</v>
      </c>
      <c r="I181" s="130" t="s">
        <v>267</v>
      </c>
      <c r="J181" s="130" t="s">
        <v>69</v>
      </c>
      <c r="K181" s="151"/>
    </row>
    <row r="182" spans="1:11" hidden="1">
      <c r="A182" s="169" t="s">
        <v>34</v>
      </c>
      <c r="B182" s="149" t="s">
        <v>65</v>
      </c>
      <c r="C182" s="171">
        <v>43292</v>
      </c>
      <c r="D182" s="130" t="s">
        <v>250</v>
      </c>
      <c r="E182" s="151"/>
      <c r="F182" s="130"/>
      <c r="G182" s="130" t="s">
        <v>85</v>
      </c>
      <c r="H182" s="130" t="s">
        <v>104</v>
      </c>
      <c r="I182" s="130" t="s">
        <v>269</v>
      </c>
      <c r="J182" s="130" t="s">
        <v>69</v>
      </c>
      <c r="K182" s="151"/>
    </row>
    <row r="183" spans="1:11" hidden="1">
      <c r="A183" s="169" t="s">
        <v>34</v>
      </c>
      <c r="B183" s="149" t="s">
        <v>65</v>
      </c>
      <c r="C183" s="171">
        <v>43292</v>
      </c>
      <c r="D183" s="130" t="s">
        <v>250</v>
      </c>
      <c r="E183" s="151"/>
      <c r="F183" s="130"/>
      <c r="G183" s="130" t="s">
        <v>85</v>
      </c>
      <c r="H183" s="130" t="s">
        <v>106</v>
      </c>
      <c r="I183" s="130" t="s">
        <v>271</v>
      </c>
      <c r="J183" s="130" t="s">
        <v>69</v>
      </c>
      <c r="K183" s="151"/>
    </row>
    <row r="184" spans="1:11" hidden="1">
      <c r="A184" s="169" t="s">
        <v>34</v>
      </c>
      <c r="B184" s="149" t="s">
        <v>65</v>
      </c>
      <c r="C184" s="171">
        <v>43292</v>
      </c>
      <c r="D184" s="130" t="s">
        <v>250</v>
      </c>
      <c r="E184" s="151"/>
      <c r="F184" s="130"/>
      <c r="G184" s="130" t="s">
        <v>85</v>
      </c>
      <c r="H184" s="130" t="s">
        <v>108</v>
      </c>
      <c r="I184" s="130" t="s">
        <v>273</v>
      </c>
      <c r="J184" s="130" t="s">
        <v>69</v>
      </c>
      <c r="K184" s="151"/>
    </row>
    <row r="185" spans="1:11" hidden="1">
      <c r="A185" s="169" t="s">
        <v>34</v>
      </c>
      <c r="B185" s="149" t="s">
        <v>65</v>
      </c>
      <c r="C185" s="171">
        <v>43292</v>
      </c>
      <c r="D185" s="130" t="s">
        <v>250</v>
      </c>
      <c r="E185" s="151"/>
      <c r="F185" s="130"/>
      <c r="G185" s="130" t="s">
        <v>85</v>
      </c>
      <c r="H185" s="130" t="s">
        <v>289</v>
      </c>
      <c r="I185" s="130" t="s">
        <v>279</v>
      </c>
      <c r="J185" s="130" t="s">
        <v>69</v>
      </c>
      <c r="K185" s="151"/>
    </row>
    <row r="186" spans="1:11" hidden="1">
      <c r="A186" s="169" t="s">
        <v>34</v>
      </c>
      <c r="B186" s="149" t="s">
        <v>65</v>
      </c>
      <c r="C186" s="171">
        <v>43292</v>
      </c>
      <c r="D186" s="130" t="s">
        <v>250</v>
      </c>
      <c r="E186" s="151"/>
      <c r="F186" s="130"/>
      <c r="G186" s="130" t="s">
        <v>85</v>
      </c>
      <c r="H186" s="130" t="s">
        <v>177</v>
      </c>
      <c r="I186" s="130" t="s">
        <v>283</v>
      </c>
      <c r="J186" s="130" t="s">
        <v>69</v>
      </c>
      <c r="K186" s="151"/>
    </row>
    <row r="187" spans="1:11" hidden="1">
      <c r="A187" s="169" t="s">
        <v>34</v>
      </c>
      <c r="B187" s="149" t="s">
        <v>65</v>
      </c>
      <c r="C187" s="171">
        <v>43292</v>
      </c>
      <c r="D187" s="130" t="s">
        <v>250</v>
      </c>
      <c r="E187" s="151"/>
      <c r="F187" s="130"/>
      <c r="G187" s="130" t="s">
        <v>85</v>
      </c>
      <c r="H187" s="130" t="s">
        <v>205</v>
      </c>
      <c r="I187" s="130" t="s">
        <v>265</v>
      </c>
      <c r="J187" s="130" t="s">
        <v>69</v>
      </c>
      <c r="K187" s="151"/>
    </row>
    <row r="188" spans="1:11" hidden="1">
      <c r="A188" s="169" t="s">
        <v>34</v>
      </c>
      <c r="B188" s="149" t="s">
        <v>65</v>
      </c>
      <c r="C188" s="171">
        <v>43292</v>
      </c>
      <c r="D188" s="130" t="s">
        <v>250</v>
      </c>
      <c r="E188" s="151"/>
      <c r="F188" s="130"/>
      <c r="G188" s="130" t="s">
        <v>85</v>
      </c>
      <c r="H188" s="130" t="s">
        <v>206</v>
      </c>
      <c r="I188" s="130" t="s">
        <v>267</v>
      </c>
      <c r="J188" s="130" t="s">
        <v>69</v>
      </c>
      <c r="K188" s="151"/>
    </row>
    <row r="189" spans="1:11" hidden="1">
      <c r="A189" s="169" t="s">
        <v>34</v>
      </c>
      <c r="B189" s="149" t="s">
        <v>65</v>
      </c>
      <c r="C189" s="171">
        <v>43292</v>
      </c>
      <c r="D189" s="130" t="s">
        <v>250</v>
      </c>
      <c r="E189" s="151"/>
      <c r="F189" s="130"/>
      <c r="G189" s="130" t="s">
        <v>85</v>
      </c>
      <c r="H189" s="130" t="s">
        <v>207</v>
      </c>
      <c r="I189" s="130" t="s">
        <v>269</v>
      </c>
      <c r="J189" s="130" t="s">
        <v>69</v>
      </c>
      <c r="K189" s="151"/>
    </row>
    <row r="190" spans="1:11" hidden="1">
      <c r="A190" s="169" t="s">
        <v>34</v>
      </c>
      <c r="B190" s="149" t="s">
        <v>65</v>
      </c>
      <c r="C190" s="171">
        <v>43292</v>
      </c>
      <c r="D190" s="130" t="s">
        <v>250</v>
      </c>
      <c r="E190" s="151"/>
      <c r="F190" s="130"/>
      <c r="G190" s="130" t="s">
        <v>85</v>
      </c>
      <c r="H190" s="130" t="s">
        <v>209</v>
      </c>
      <c r="I190" s="130" t="s">
        <v>271</v>
      </c>
      <c r="J190" s="130" t="s">
        <v>69</v>
      </c>
      <c r="K190" s="151"/>
    </row>
    <row r="191" spans="1:11" hidden="1">
      <c r="A191" s="169" t="s">
        <v>34</v>
      </c>
      <c r="B191" s="149" t="s">
        <v>65</v>
      </c>
      <c r="C191" s="171">
        <v>43292</v>
      </c>
      <c r="D191" s="130" t="s">
        <v>250</v>
      </c>
      <c r="E191" s="151"/>
      <c r="F191" s="130"/>
      <c r="G191" s="130" t="s">
        <v>85</v>
      </c>
      <c r="H191" s="130" t="s">
        <v>210</v>
      </c>
      <c r="I191" s="130" t="s">
        <v>273</v>
      </c>
      <c r="J191" s="130" t="s">
        <v>69</v>
      </c>
      <c r="K191" s="151"/>
    </row>
    <row r="192" spans="1:11" ht="66" hidden="1">
      <c r="A192" s="169" t="s">
        <v>34</v>
      </c>
      <c r="B192" s="149" t="s">
        <v>65</v>
      </c>
      <c r="C192" s="171">
        <v>43292</v>
      </c>
      <c r="D192" s="130" t="s">
        <v>250</v>
      </c>
      <c r="E192" s="151"/>
      <c r="F192" s="130"/>
      <c r="G192" s="130" t="s">
        <v>85</v>
      </c>
      <c r="H192" s="130" t="s">
        <v>216</v>
      </c>
      <c r="I192" s="130" t="s">
        <v>290</v>
      </c>
      <c r="J192" s="130" t="s">
        <v>69</v>
      </c>
      <c r="K192" s="151"/>
    </row>
    <row r="193" spans="1:11" hidden="1">
      <c r="A193" s="169" t="s">
        <v>34</v>
      </c>
      <c r="B193" s="149" t="s">
        <v>65</v>
      </c>
      <c r="C193" s="171">
        <v>43292</v>
      </c>
      <c r="D193" s="130" t="s">
        <v>250</v>
      </c>
      <c r="E193" s="151"/>
      <c r="F193" s="130"/>
      <c r="G193" s="130" t="s">
        <v>85</v>
      </c>
      <c r="H193" s="130" t="s">
        <v>219</v>
      </c>
      <c r="I193" s="130" t="s">
        <v>291</v>
      </c>
      <c r="J193" s="130" t="s">
        <v>69</v>
      </c>
      <c r="K193" s="151"/>
    </row>
    <row r="194" spans="1:11" hidden="1">
      <c r="A194" s="169" t="s">
        <v>34</v>
      </c>
      <c r="B194" s="149" t="s">
        <v>65</v>
      </c>
      <c r="C194" s="171">
        <v>43292</v>
      </c>
      <c r="D194" s="130" t="s">
        <v>250</v>
      </c>
      <c r="E194" s="151"/>
      <c r="F194" s="130"/>
      <c r="G194" s="130" t="s">
        <v>85</v>
      </c>
      <c r="H194" s="130" t="s">
        <v>220</v>
      </c>
      <c r="I194" s="130" t="s">
        <v>292</v>
      </c>
      <c r="J194" s="130" t="s">
        <v>69</v>
      </c>
      <c r="K194" s="151"/>
    </row>
    <row r="195" spans="1:11" hidden="1">
      <c r="A195" s="169" t="s">
        <v>34</v>
      </c>
      <c r="B195" s="149" t="s">
        <v>65</v>
      </c>
      <c r="C195" s="171">
        <v>43292</v>
      </c>
      <c r="D195" s="130" t="s">
        <v>250</v>
      </c>
      <c r="E195" s="151"/>
      <c r="F195" s="130"/>
      <c r="G195" s="130" t="s">
        <v>85</v>
      </c>
      <c r="H195" s="130" t="s">
        <v>222</v>
      </c>
      <c r="I195" s="130" t="s">
        <v>291</v>
      </c>
      <c r="J195" s="130" t="s">
        <v>69</v>
      </c>
      <c r="K195" s="151"/>
    </row>
    <row r="196" spans="1:11" hidden="1">
      <c r="A196" s="169" t="s">
        <v>34</v>
      </c>
      <c r="B196" s="149" t="s">
        <v>65</v>
      </c>
      <c r="C196" s="171">
        <v>43292</v>
      </c>
      <c r="D196" s="130" t="s">
        <v>250</v>
      </c>
      <c r="E196" s="151"/>
      <c r="F196" s="130"/>
      <c r="G196" s="130" t="s">
        <v>85</v>
      </c>
      <c r="H196" s="130" t="s">
        <v>223</v>
      </c>
      <c r="I196" s="130" t="s">
        <v>291</v>
      </c>
      <c r="J196" s="130" t="s">
        <v>69</v>
      </c>
      <c r="K196" s="151"/>
    </row>
    <row r="197" spans="1:11" hidden="1">
      <c r="A197" s="169" t="s">
        <v>34</v>
      </c>
      <c r="B197" s="149" t="s">
        <v>65</v>
      </c>
      <c r="C197" s="171">
        <v>43292</v>
      </c>
      <c r="D197" s="130" t="s">
        <v>250</v>
      </c>
      <c r="E197" s="151"/>
      <c r="F197" s="130"/>
      <c r="G197" s="130" t="s">
        <v>85</v>
      </c>
      <c r="H197" s="130" t="s">
        <v>293</v>
      </c>
      <c r="I197" s="130" t="s">
        <v>294</v>
      </c>
      <c r="J197" s="130" t="s">
        <v>69</v>
      </c>
      <c r="K197" s="151"/>
    </row>
    <row r="198" spans="1:11" hidden="1">
      <c r="A198" s="169" t="s">
        <v>34</v>
      </c>
      <c r="B198" s="149" t="s">
        <v>65</v>
      </c>
      <c r="C198" s="171">
        <v>43292</v>
      </c>
      <c r="D198" s="130" t="s">
        <v>250</v>
      </c>
      <c r="E198" s="151"/>
      <c r="F198" s="130"/>
      <c r="G198" s="130" t="s">
        <v>85</v>
      </c>
      <c r="H198" s="130" t="s">
        <v>295</v>
      </c>
      <c r="I198" s="130" t="s">
        <v>265</v>
      </c>
      <c r="J198" s="130" t="s">
        <v>69</v>
      </c>
      <c r="K198" s="151"/>
    </row>
    <row r="199" spans="1:11" hidden="1">
      <c r="A199" s="169" t="s">
        <v>34</v>
      </c>
      <c r="B199" s="149" t="s">
        <v>65</v>
      </c>
      <c r="C199" s="171">
        <v>43292</v>
      </c>
      <c r="D199" s="130" t="s">
        <v>250</v>
      </c>
      <c r="E199" s="151"/>
      <c r="F199" s="130"/>
      <c r="G199" s="130" t="s">
        <v>85</v>
      </c>
      <c r="H199" s="130" t="s">
        <v>296</v>
      </c>
      <c r="I199" s="130" t="s">
        <v>267</v>
      </c>
      <c r="J199" s="130" t="s">
        <v>69</v>
      </c>
      <c r="K199" s="151"/>
    </row>
    <row r="200" spans="1:11" hidden="1">
      <c r="A200" s="169" t="s">
        <v>34</v>
      </c>
      <c r="B200" s="149" t="s">
        <v>65</v>
      </c>
      <c r="C200" s="171">
        <v>43292</v>
      </c>
      <c r="D200" s="130" t="s">
        <v>250</v>
      </c>
      <c r="E200" s="151"/>
      <c r="F200" s="130"/>
      <c r="G200" s="130" t="s">
        <v>85</v>
      </c>
      <c r="H200" s="130" t="s">
        <v>297</v>
      </c>
      <c r="I200" s="130" t="s">
        <v>269</v>
      </c>
      <c r="J200" s="130" t="s">
        <v>69</v>
      </c>
      <c r="K200" s="151"/>
    </row>
    <row r="201" spans="1:11" hidden="1">
      <c r="A201" s="169" t="s">
        <v>34</v>
      </c>
      <c r="B201" s="149" t="s">
        <v>65</v>
      </c>
      <c r="C201" s="171">
        <v>43292</v>
      </c>
      <c r="D201" s="130" t="s">
        <v>250</v>
      </c>
      <c r="E201" s="151"/>
      <c r="F201" s="130"/>
      <c r="G201" s="130" t="s">
        <v>85</v>
      </c>
      <c r="H201" s="130" t="s">
        <v>298</v>
      </c>
      <c r="I201" s="130" t="s">
        <v>271</v>
      </c>
      <c r="J201" s="130" t="s">
        <v>69</v>
      </c>
      <c r="K201" s="151"/>
    </row>
    <row r="202" spans="1:11" hidden="1">
      <c r="A202" s="169" t="s">
        <v>34</v>
      </c>
      <c r="B202" s="149" t="s">
        <v>65</v>
      </c>
      <c r="C202" s="171">
        <v>43292</v>
      </c>
      <c r="D202" s="130" t="s">
        <v>250</v>
      </c>
      <c r="E202" s="151"/>
      <c r="F202" s="130"/>
      <c r="G202" s="130" t="s">
        <v>85</v>
      </c>
      <c r="H202" s="130" t="s">
        <v>299</v>
      </c>
      <c r="I202" s="130" t="s">
        <v>273</v>
      </c>
      <c r="J202" s="130" t="s">
        <v>69</v>
      </c>
      <c r="K202" s="151"/>
    </row>
    <row r="203" spans="1:11" hidden="1">
      <c r="A203" s="169" t="s">
        <v>34</v>
      </c>
      <c r="B203" s="149" t="s">
        <v>65</v>
      </c>
      <c r="C203" s="171">
        <v>43292</v>
      </c>
      <c r="D203" s="130" t="s">
        <v>250</v>
      </c>
      <c r="E203" s="151"/>
      <c r="F203" s="130"/>
      <c r="G203" s="130" t="s">
        <v>85</v>
      </c>
      <c r="H203" s="130" t="s">
        <v>300</v>
      </c>
      <c r="I203" s="130" t="s">
        <v>279</v>
      </c>
      <c r="J203" s="130" t="s">
        <v>69</v>
      </c>
      <c r="K203" s="151"/>
    </row>
    <row r="204" spans="1:11" hidden="1">
      <c r="A204" s="169" t="s">
        <v>34</v>
      </c>
      <c r="B204" s="149" t="s">
        <v>65</v>
      </c>
      <c r="C204" s="171">
        <v>43292</v>
      </c>
      <c r="D204" s="130" t="s">
        <v>250</v>
      </c>
      <c r="E204" s="151"/>
      <c r="F204" s="130"/>
      <c r="G204" s="130" t="s">
        <v>85</v>
      </c>
      <c r="H204" s="130" t="s">
        <v>301</v>
      </c>
      <c r="I204" s="130" t="s">
        <v>302</v>
      </c>
      <c r="J204" s="130" t="s">
        <v>69</v>
      </c>
      <c r="K204" s="151"/>
    </row>
    <row r="205" spans="1:11" hidden="1">
      <c r="A205" s="169" t="s">
        <v>34</v>
      </c>
      <c r="B205" s="149" t="s">
        <v>65</v>
      </c>
      <c r="C205" s="171">
        <v>43292</v>
      </c>
      <c r="D205" s="130" t="s">
        <v>250</v>
      </c>
      <c r="E205" s="151"/>
      <c r="F205" s="130"/>
      <c r="G205" s="130" t="s">
        <v>85</v>
      </c>
      <c r="H205" s="130" t="s">
        <v>303</v>
      </c>
      <c r="I205" s="130" t="s">
        <v>304</v>
      </c>
      <c r="J205" s="130" t="s">
        <v>69</v>
      </c>
      <c r="K205" s="151"/>
    </row>
    <row r="206" spans="1:11" hidden="1">
      <c r="A206" s="169" t="s">
        <v>34</v>
      </c>
      <c r="B206" s="149" t="s">
        <v>65</v>
      </c>
      <c r="C206" s="171">
        <v>43292</v>
      </c>
      <c r="D206" s="130" t="s">
        <v>250</v>
      </c>
      <c r="E206" s="151"/>
      <c r="F206" s="130"/>
      <c r="G206" s="130" t="s">
        <v>85</v>
      </c>
      <c r="H206" s="130" t="s">
        <v>305</v>
      </c>
      <c r="I206" s="130" t="s">
        <v>306</v>
      </c>
      <c r="J206" s="130" t="s">
        <v>69</v>
      </c>
      <c r="K206" s="151"/>
    </row>
    <row r="207" spans="1:11" hidden="1">
      <c r="A207" s="169" t="s">
        <v>34</v>
      </c>
      <c r="B207" s="149" t="s">
        <v>65</v>
      </c>
      <c r="C207" s="171">
        <v>43292</v>
      </c>
      <c r="D207" s="130" t="s">
        <v>250</v>
      </c>
      <c r="E207" s="151"/>
      <c r="F207" s="130"/>
      <c r="G207" s="130" t="s">
        <v>85</v>
      </c>
      <c r="H207" s="130" t="s">
        <v>307</v>
      </c>
      <c r="I207" s="130" t="s">
        <v>308</v>
      </c>
      <c r="J207" s="130" t="s">
        <v>69</v>
      </c>
      <c r="K207" s="151"/>
    </row>
    <row r="208" spans="1:11" hidden="1">
      <c r="A208" s="169" t="s">
        <v>34</v>
      </c>
      <c r="B208" s="149" t="s">
        <v>65</v>
      </c>
      <c r="C208" s="171">
        <v>43292</v>
      </c>
      <c r="D208" s="130" t="s">
        <v>250</v>
      </c>
      <c r="E208" s="151"/>
      <c r="F208" s="130"/>
      <c r="G208" s="130" t="s">
        <v>85</v>
      </c>
      <c r="H208" s="130" t="s">
        <v>309</v>
      </c>
      <c r="I208" s="130"/>
      <c r="J208" s="130"/>
      <c r="K208" s="151"/>
    </row>
    <row r="209" spans="1:11" hidden="1">
      <c r="A209" s="169" t="s">
        <v>34</v>
      </c>
      <c r="B209" s="149" t="s">
        <v>65</v>
      </c>
      <c r="C209" s="171">
        <v>43292</v>
      </c>
      <c r="D209" s="130" t="s">
        <v>250</v>
      </c>
      <c r="E209" s="151"/>
      <c r="F209" s="130"/>
      <c r="G209" s="130" t="s">
        <v>85</v>
      </c>
      <c r="H209" s="130" t="s">
        <v>309</v>
      </c>
      <c r="I209" s="130"/>
      <c r="J209" s="130"/>
      <c r="K209" s="151"/>
    </row>
    <row r="210" spans="1:11" hidden="1">
      <c r="A210" s="169" t="s">
        <v>34</v>
      </c>
      <c r="B210" s="149" t="s">
        <v>65</v>
      </c>
      <c r="C210" s="171">
        <v>43292</v>
      </c>
      <c r="D210" s="130" t="s">
        <v>250</v>
      </c>
      <c r="E210" s="151"/>
      <c r="F210" s="130"/>
      <c r="G210" s="130" t="s">
        <v>85</v>
      </c>
      <c r="H210" s="130" t="s">
        <v>309</v>
      </c>
      <c r="I210" s="130"/>
      <c r="J210" s="130"/>
      <c r="K210" s="151"/>
    </row>
    <row r="211" spans="1:11" hidden="1">
      <c r="A211" s="169" t="s">
        <v>34</v>
      </c>
      <c r="B211" s="149" t="s">
        <v>65</v>
      </c>
      <c r="C211" s="171">
        <v>43292</v>
      </c>
      <c r="D211" s="130" t="s">
        <v>250</v>
      </c>
      <c r="E211" s="151"/>
      <c r="F211" s="130"/>
      <c r="G211" s="130" t="s">
        <v>85</v>
      </c>
      <c r="H211" s="130" t="s">
        <v>309</v>
      </c>
      <c r="I211" s="130"/>
      <c r="J211" s="130"/>
      <c r="K211" s="151"/>
    </row>
    <row r="212" spans="1:11" hidden="1">
      <c r="A212" s="169" t="s">
        <v>34</v>
      </c>
      <c r="B212" s="149" t="s">
        <v>65</v>
      </c>
      <c r="C212" s="171">
        <v>43292</v>
      </c>
      <c r="D212" s="130" t="s">
        <v>250</v>
      </c>
      <c r="E212" s="151"/>
      <c r="F212" s="130"/>
      <c r="G212" s="130" t="s">
        <v>85</v>
      </c>
      <c r="H212" s="130" t="s">
        <v>309</v>
      </c>
      <c r="I212" s="130"/>
      <c r="J212" s="130"/>
      <c r="K212" s="151"/>
    </row>
    <row r="213" spans="1:11" hidden="1">
      <c r="A213" s="169" t="s">
        <v>34</v>
      </c>
      <c r="B213" s="149" t="s">
        <v>65</v>
      </c>
      <c r="C213" s="171">
        <v>43292</v>
      </c>
      <c r="D213" s="130" t="s">
        <v>250</v>
      </c>
      <c r="E213" s="151"/>
      <c r="F213" s="130"/>
      <c r="G213" s="130" t="s">
        <v>85</v>
      </c>
      <c r="H213" s="130" t="s">
        <v>309</v>
      </c>
      <c r="I213" s="130"/>
      <c r="J213" s="130"/>
      <c r="K213" s="151"/>
    </row>
    <row r="214" spans="1:11" hidden="1">
      <c r="A214" s="169" t="s">
        <v>34</v>
      </c>
      <c r="B214" s="149" t="s">
        <v>65</v>
      </c>
      <c r="C214" s="171">
        <v>43292</v>
      </c>
      <c r="D214" s="130" t="s">
        <v>250</v>
      </c>
      <c r="E214" s="151"/>
      <c r="F214" s="130"/>
      <c r="G214" s="130" t="s">
        <v>85</v>
      </c>
      <c r="H214" s="130" t="s">
        <v>309</v>
      </c>
      <c r="I214" s="130"/>
      <c r="J214" s="130"/>
      <c r="K214" s="151"/>
    </row>
    <row r="215" spans="1:11" hidden="1">
      <c r="A215" s="169" t="s">
        <v>34</v>
      </c>
      <c r="B215" s="149" t="s">
        <v>65</v>
      </c>
      <c r="C215" s="171">
        <v>43292</v>
      </c>
      <c r="D215" s="130" t="s">
        <v>250</v>
      </c>
      <c r="E215" s="151"/>
      <c r="F215" s="130"/>
      <c r="G215" s="130" t="s">
        <v>85</v>
      </c>
      <c r="H215" s="130" t="s">
        <v>309</v>
      </c>
      <c r="I215" s="130"/>
      <c r="J215" s="130"/>
      <c r="K215" s="151"/>
    </row>
    <row r="216" spans="1:11" hidden="1">
      <c r="A216" s="169" t="s">
        <v>34</v>
      </c>
      <c r="B216" s="149" t="s">
        <v>65</v>
      </c>
      <c r="C216" s="171">
        <v>43292</v>
      </c>
      <c r="D216" s="130" t="s">
        <v>250</v>
      </c>
      <c r="E216" s="151"/>
      <c r="F216" s="130"/>
      <c r="G216" s="130" t="s">
        <v>85</v>
      </c>
      <c r="H216" s="130" t="s">
        <v>309</v>
      </c>
      <c r="I216" s="130"/>
      <c r="J216" s="130"/>
      <c r="K216" s="151"/>
    </row>
    <row r="217" spans="1:11" hidden="1">
      <c r="A217" s="169" t="s">
        <v>34</v>
      </c>
      <c r="B217" s="149" t="s">
        <v>65</v>
      </c>
      <c r="C217" s="171">
        <v>43292</v>
      </c>
      <c r="D217" s="130" t="s">
        <v>250</v>
      </c>
      <c r="E217" s="151"/>
      <c r="F217" s="130"/>
      <c r="G217" s="130" t="s">
        <v>85</v>
      </c>
      <c r="H217" s="130" t="s">
        <v>309</v>
      </c>
      <c r="I217" s="130"/>
      <c r="J217" s="130"/>
      <c r="K217" s="151"/>
    </row>
    <row r="218" spans="1:11" hidden="1">
      <c r="A218" s="169" t="s">
        <v>34</v>
      </c>
      <c r="B218" s="149" t="s">
        <v>65</v>
      </c>
      <c r="C218" s="171">
        <v>43292</v>
      </c>
      <c r="D218" s="130" t="s">
        <v>250</v>
      </c>
      <c r="E218" s="151"/>
      <c r="F218" s="130"/>
      <c r="G218" s="130" t="s">
        <v>85</v>
      </c>
      <c r="H218" s="130" t="s">
        <v>309</v>
      </c>
      <c r="I218" s="130"/>
      <c r="J218" s="130"/>
      <c r="K218" s="151"/>
    </row>
    <row r="219" spans="1:11" hidden="1">
      <c r="A219" s="169" t="s">
        <v>34</v>
      </c>
      <c r="B219" s="149" t="s">
        <v>65</v>
      </c>
      <c r="C219" s="171">
        <v>43292</v>
      </c>
      <c r="D219" s="130" t="s">
        <v>250</v>
      </c>
      <c r="E219" s="151"/>
      <c r="F219" s="130"/>
      <c r="G219" s="130" t="s">
        <v>85</v>
      </c>
      <c r="H219" s="130" t="s">
        <v>309</v>
      </c>
      <c r="I219" s="130"/>
      <c r="J219" s="130"/>
      <c r="K219" s="151"/>
    </row>
    <row r="220" spans="1:11" hidden="1">
      <c r="A220" s="169" t="s">
        <v>34</v>
      </c>
      <c r="B220" s="149" t="s">
        <v>65</v>
      </c>
      <c r="C220" s="171">
        <v>43292</v>
      </c>
      <c r="D220" s="130" t="s">
        <v>250</v>
      </c>
      <c r="E220" s="151"/>
      <c r="F220" s="130"/>
      <c r="G220" s="130" t="s">
        <v>85</v>
      </c>
      <c r="H220" s="130" t="s">
        <v>309</v>
      </c>
      <c r="I220" s="130"/>
      <c r="J220" s="130"/>
      <c r="K220" s="151"/>
    </row>
    <row r="221" spans="1:11" hidden="1">
      <c r="A221" s="169" t="s">
        <v>34</v>
      </c>
      <c r="B221" s="149" t="s">
        <v>65</v>
      </c>
      <c r="C221" s="171">
        <v>43292</v>
      </c>
      <c r="D221" s="130" t="s">
        <v>250</v>
      </c>
      <c r="E221" s="151"/>
      <c r="F221" s="130"/>
      <c r="G221" s="130" t="s">
        <v>85</v>
      </c>
      <c r="H221" s="130" t="s">
        <v>309</v>
      </c>
      <c r="I221" s="130"/>
      <c r="J221" s="130"/>
      <c r="K221" s="151"/>
    </row>
    <row r="222" spans="1:11" hidden="1">
      <c r="A222" s="169" t="s">
        <v>34</v>
      </c>
      <c r="B222" s="149" t="s">
        <v>65</v>
      </c>
      <c r="C222" s="171">
        <v>43292</v>
      </c>
      <c r="D222" s="130" t="s">
        <v>250</v>
      </c>
      <c r="E222" s="151"/>
      <c r="F222" s="130"/>
      <c r="G222" s="130" t="s">
        <v>85</v>
      </c>
      <c r="H222" s="130" t="s">
        <v>309</v>
      </c>
      <c r="I222" s="130"/>
      <c r="J222" s="130"/>
      <c r="K222" s="151"/>
    </row>
    <row r="223" spans="1:11" hidden="1">
      <c r="A223" s="169" t="s">
        <v>34</v>
      </c>
      <c r="B223" s="149" t="s">
        <v>65</v>
      </c>
      <c r="C223" s="171">
        <v>43292</v>
      </c>
      <c r="D223" s="130" t="s">
        <v>250</v>
      </c>
      <c r="E223" s="151"/>
      <c r="F223" s="130"/>
      <c r="G223" s="130" t="s">
        <v>85</v>
      </c>
      <c r="H223" s="130" t="s">
        <v>309</v>
      </c>
      <c r="I223" s="130"/>
      <c r="J223" s="130"/>
      <c r="K223" s="151"/>
    </row>
    <row r="224" spans="1:11" ht="26.45" hidden="1">
      <c r="A224" s="169" t="s">
        <v>34</v>
      </c>
      <c r="B224" s="149" t="s">
        <v>65</v>
      </c>
      <c r="C224" s="171">
        <v>43292</v>
      </c>
      <c r="D224" s="130" t="s">
        <v>250</v>
      </c>
      <c r="E224" s="151"/>
      <c r="F224" s="130"/>
      <c r="G224" s="130" t="s">
        <v>85</v>
      </c>
      <c r="H224" s="130" t="s">
        <v>310</v>
      </c>
      <c r="I224" s="130" t="s">
        <v>311</v>
      </c>
      <c r="J224" s="130" t="s">
        <v>69</v>
      </c>
      <c r="K224" s="151"/>
    </row>
    <row r="225" spans="1:11" hidden="1">
      <c r="A225" s="169" t="s">
        <v>34</v>
      </c>
      <c r="B225" s="149" t="s">
        <v>65</v>
      </c>
      <c r="C225" s="171">
        <v>43292</v>
      </c>
      <c r="D225" s="130" t="s">
        <v>250</v>
      </c>
      <c r="E225" s="151"/>
      <c r="F225" s="130"/>
      <c r="G225" s="130" t="s">
        <v>85</v>
      </c>
      <c r="H225" s="130" t="s">
        <v>312</v>
      </c>
      <c r="I225" s="130" t="s">
        <v>313</v>
      </c>
      <c r="J225" s="130" t="s">
        <v>69</v>
      </c>
      <c r="K225" s="151"/>
    </row>
    <row r="226" spans="1:11" hidden="1">
      <c r="A226" s="169" t="s">
        <v>34</v>
      </c>
      <c r="B226" s="149" t="s">
        <v>65</v>
      </c>
      <c r="C226" s="171">
        <v>43292</v>
      </c>
      <c r="D226" s="130" t="s">
        <v>250</v>
      </c>
      <c r="E226" s="151"/>
      <c r="F226" s="130"/>
      <c r="G226" s="130" t="s">
        <v>85</v>
      </c>
      <c r="H226" s="130" t="s">
        <v>203</v>
      </c>
      <c r="I226" s="130" t="s">
        <v>314</v>
      </c>
      <c r="J226" s="130" t="s">
        <v>69</v>
      </c>
      <c r="K226" s="151"/>
    </row>
    <row r="227" spans="1:11" ht="26.45" hidden="1">
      <c r="A227" s="169" t="s">
        <v>34</v>
      </c>
      <c r="B227" s="149" t="s">
        <v>65</v>
      </c>
      <c r="C227" s="171">
        <v>43292</v>
      </c>
      <c r="D227" s="130" t="s">
        <v>250</v>
      </c>
      <c r="E227" s="151"/>
      <c r="F227" s="130"/>
      <c r="G227" s="130" t="s">
        <v>85</v>
      </c>
      <c r="H227" s="130" t="s">
        <v>315</v>
      </c>
      <c r="I227" s="130" t="s">
        <v>316</v>
      </c>
      <c r="J227" s="130" t="s">
        <v>69</v>
      </c>
      <c r="K227" s="151"/>
    </row>
    <row r="228" spans="1:11" hidden="1">
      <c r="A228" s="169" t="s">
        <v>34</v>
      </c>
      <c r="B228" s="149" t="s">
        <v>65</v>
      </c>
      <c r="C228" s="171">
        <v>43292</v>
      </c>
      <c r="D228" s="130" t="s">
        <v>250</v>
      </c>
      <c r="E228" s="151"/>
      <c r="F228" s="130"/>
      <c r="G228" s="130" t="s">
        <v>85</v>
      </c>
      <c r="H228" s="130" t="s">
        <v>317</v>
      </c>
      <c r="I228" s="130" t="s">
        <v>318</v>
      </c>
      <c r="J228" s="130" t="s">
        <v>69</v>
      </c>
      <c r="K228" s="151"/>
    </row>
    <row r="229" spans="1:11" hidden="1">
      <c r="A229" s="169" t="s">
        <v>34</v>
      </c>
      <c r="B229" s="149" t="s">
        <v>65</v>
      </c>
      <c r="C229" s="171">
        <v>43292</v>
      </c>
      <c r="D229" s="130" t="s">
        <v>250</v>
      </c>
      <c r="E229" s="151"/>
      <c r="F229" s="130"/>
      <c r="G229" s="130" t="s">
        <v>85</v>
      </c>
      <c r="H229" s="130" t="s">
        <v>179</v>
      </c>
      <c r="I229" s="130" t="s">
        <v>319</v>
      </c>
      <c r="J229" s="130" t="s">
        <v>69</v>
      </c>
      <c r="K229" s="151"/>
    </row>
    <row r="230" spans="1:11" hidden="1">
      <c r="A230" s="169" t="s">
        <v>34</v>
      </c>
      <c r="B230" s="149" t="s">
        <v>65</v>
      </c>
      <c r="C230" s="171">
        <v>43292</v>
      </c>
      <c r="D230" s="130" t="s">
        <v>250</v>
      </c>
      <c r="E230" s="151"/>
      <c r="F230" s="130"/>
      <c r="G230" s="130" t="s">
        <v>85</v>
      </c>
      <c r="H230" s="130" t="s">
        <v>320</v>
      </c>
      <c r="I230" s="130" t="s">
        <v>321</v>
      </c>
      <c r="J230" s="130" t="s">
        <v>69</v>
      </c>
      <c r="K230" s="151"/>
    </row>
    <row r="231" spans="1:11" ht="26.45" hidden="1">
      <c r="A231" s="169" t="s">
        <v>34</v>
      </c>
      <c r="B231" s="149" t="s">
        <v>65</v>
      </c>
      <c r="C231" s="171">
        <v>43292</v>
      </c>
      <c r="D231" s="130" t="s">
        <v>250</v>
      </c>
      <c r="E231" s="151"/>
      <c r="F231" s="130"/>
      <c r="G231" s="130" t="s">
        <v>85</v>
      </c>
      <c r="H231" s="130" t="s">
        <v>322</v>
      </c>
      <c r="I231" s="130" t="s">
        <v>323</v>
      </c>
      <c r="J231" s="130" t="s">
        <v>69</v>
      </c>
      <c r="K231" s="151"/>
    </row>
    <row r="232" spans="1:11" hidden="1">
      <c r="A232" s="169" t="s">
        <v>34</v>
      </c>
      <c r="B232" s="149" t="s">
        <v>65</v>
      </c>
      <c r="C232" s="171">
        <v>43292</v>
      </c>
      <c r="D232" s="130" t="s">
        <v>250</v>
      </c>
      <c r="E232" s="151"/>
      <c r="F232" s="130"/>
      <c r="G232" s="130" t="s">
        <v>85</v>
      </c>
      <c r="H232" s="130" t="s">
        <v>324</v>
      </c>
      <c r="I232" s="130"/>
      <c r="J232" s="130"/>
      <c r="K232" s="151"/>
    </row>
    <row r="233" spans="1:11" ht="26.45" hidden="1">
      <c r="A233" s="169" t="s">
        <v>34</v>
      </c>
      <c r="B233" s="149" t="s">
        <v>65</v>
      </c>
      <c r="C233" s="171">
        <v>43292</v>
      </c>
      <c r="D233" s="130" t="s">
        <v>250</v>
      </c>
      <c r="E233" s="151"/>
      <c r="F233" s="130"/>
      <c r="G233" s="130" t="s">
        <v>85</v>
      </c>
      <c r="H233" s="130" t="s">
        <v>100</v>
      </c>
      <c r="I233" s="130" t="s">
        <v>325</v>
      </c>
      <c r="J233" s="130" t="s">
        <v>69</v>
      </c>
      <c r="K233" s="151"/>
    </row>
    <row r="234" spans="1:11" ht="92.45" hidden="1">
      <c r="A234" s="169" t="s">
        <v>34</v>
      </c>
      <c r="B234" s="149" t="s">
        <v>65</v>
      </c>
      <c r="C234" s="171">
        <v>43292</v>
      </c>
      <c r="D234" s="130" t="s">
        <v>250</v>
      </c>
      <c r="E234" s="151"/>
      <c r="F234" s="130"/>
      <c r="G234" s="130" t="s">
        <v>85</v>
      </c>
      <c r="H234" s="130" t="s">
        <v>326</v>
      </c>
      <c r="I234" s="130" t="s">
        <v>327</v>
      </c>
      <c r="J234" s="130" t="s">
        <v>69</v>
      </c>
      <c r="K234" s="151"/>
    </row>
    <row r="235" spans="1:11" ht="66" hidden="1">
      <c r="A235" s="169" t="s">
        <v>34</v>
      </c>
      <c r="B235" s="149" t="s">
        <v>65</v>
      </c>
      <c r="C235" s="171">
        <v>43292</v>
      </c>
      <c r="D235" s="130" t="s">
        <v>250</v>
      </c>
      <c r="E235" s="151"/>
      <c r="F235" s="130"/>
      <c r="G235" s="130" t="s">
        <v>85</v>
      </c>
      <c r="H235" s="130" t="s">
        <v>328</v>
      </c>
      <c r="I235" s="130" t="s">
        <v>329</v>
      </c>
      <c r="J235" s="130" t="s">
        <v>69</v>
      </c>
      <c r="K235" s="151"/>
    </row>
    <row r="236" spans="1:11" ht="39.6" hidden="1">
      <c r="A236" s="169" t="s">
        <v>34</v>
      </c>
      <c r="B236" s="149" t="s">
        <v>65</v>
      </c>
      <c r="C236" s="171">
        <v>43292</v>
      </c>
      <c r="D236" s="130" t="s">
        <v>250</v>
      </c>
      <c r="E236" s="151"/>
      <c r="F236" s="130"/>
      <c r="G236" s="130" t="s">
        <v>85</v>
      </c>
      <c r="H236" s="130" t="s">
        <v>114</v>
      </c>
      <c r="I236" s="130" t="s">
        <v>330</v>
      </c>
      <c r="J236" s="130" t="s">
        <v>69</v>
      </c>
      <c r="K236" s="151"/>
    </row>
    <row r="237" spans="1:11" hidden="1">
      <c r="A237" s="169" t="s">
        <v>34</v>
      </c>
      <c r="B237" s="149" t="s">
        <v>65</v>
      </c>
      <c r="C237" s="171">
        <v>43292</v>
      </c>
      <c r="D237" s="130" t="s">
        <v>250</v>
      </c>
      <c r="E237" s="151" t="s">
        <v>47</v>
      </c>
      <c r="F237" s="130"/>
      <c r="G237" s="130" t="s">
        <v>85</v>
      </c>
      <c r="H237" s="130" t="s">
        <v>262</v>
      </c>
      <c r="I237" s="130" t="s">
        <v>331</v>
      </c>
      <c r="J237" s="130" t="s">
        <v>332</v>
      </c>
      <c r="K237" s="151"/>
    </row>
    <row r="238" spans="1:11" hidden="1">
      <c r="A238" s="169" t="s">
        <v>34</v>
      </c>
      <c r="B238" s="149" t="s">
        <v>65</v>
      </c>
      <c r="C238" s="171">
        <v>43292</v>
      </c>
      <c r="D238" s="130" t="s">
        <v>250</v>
      </c>
      <c r="E238" s="151" t="s">
        <v>47</v>
      </c>
      <c r="F238" s="130"/>
      <c r="G238" s="130" t="s">
        <v>85</v>
      </c>
      <c r="H238" s="130" t="s">
        <v>286</v>
      </c>
      <c r="I238" s="130"/>
      <c r="J238" s="130"/>
      <c r="K238" s="151"/>
    </row>
    <row r="239" spans="1:11" ht="26.45" hidden="1">
      <c r="A239" s="169" t="s">
        <v>34</v>
      </c>
      <c r="B239" s="149" t="s">
        <v>65</v>
      </c>
      <c r="C239" s="171">
        <v>43292</v>
      </c>
      <c r="D239" s="130" t="s">
        <v>250</v>
      </c>
      <c r="E239" s="151" t="s">
        <v>47</v>
      </c>
      <c r="F239" s="130"/>
      <c r="G239" s="130" t="s">
        <v>85</v>
      </c>
      <c r="H239" s="130" t="s">
        <v>231</v>
      </c>
      <c r="I239" s="130" t="s">
        <v>333</v>
      </c>
      <c r="J239" s="130" t="s">
        <v>69</v>
      </c>
      <c r="K239" s="151"/>
    </row>
    <row r="240" spans="1:11" ht="26.45" hidden="1">
      <c r="A240" s="169" t="s">
        <v>34</v>
      </c>
      <c r="B240" s="149" t="s">
        <v>65</v>
      </c>
      <c r="C240" s="160">
        <v>43368</v>
      </c>
      <c r="D240" s="130" t="s">
        <v>334</v>
      </c>
      <c r="E240" s="151"/>
      <c r="F240" s="130"/>
      <c r="G240" s="130" t="s">
        <v>85</v>
      </c>
      <c r="H240" s="130" t="s">
        <v>88</v>
      </c>
      <c r="I240" s="130" t="s">
        <v>335</v>
      </c>
      <c r="J240" s="130" t="s">
        <v>311</v>
      </c>
      <c r="K240" s="151"/>
    </row>
    <row r="241" spans="1:11" ht="26.45" hidden="1">
      <c r="A241" s="169" t="s">
        <v>34</v>
      </c>
      <c r="B241" s="149" t="s">
        <v>65</v>
      </c>
      <c r="C241" s="160">
        <v>43368</v>
      </c>
      <c r="D241" s="130" t="s">
        <v>334</v>
      </c>
      <c r="E241" s="130"/>
      <c r="F241" s="130"/>
      <c r="G241" s="130" t="s">
        <v>85</v>
      </c>
      <c r="H241" s="130" t="s">
        <v>229</v>
      </c>
      <c r="I241" s="130" t="s">
        <v>336</v>
      </c>
      <c r="J241" s="130" t="s">
        <v>256</v>
      </c>
      <c r="K241" s="130"/>
    </row>
    <row r="242" spans="1:11" hidden="1">
      <c r="A242" s="169" t="s">
        <v>34</v>
      </c>
      <c r="B242" s="149" t="s">
        <v>65</v>
      </c>
      <c r="C242" s="160">
        <v>43368</v>
      </c>
      <c r="D242" s="130" t="s">
        <v>334</v>
      </c>
      <c r="E242" s="130"/>
      <c r="F242" s="130"/>
      <c r="G242" s="130" t="s">
        <v>85</v>
      </c>
      <c r="H242" s="130" t="s">
        <v>337</v>
      </c>
      <c r="I242" s="130" t="s">
        <v>338</v>
      </c>
      <c r="J242" s="130" t="s">
        <v>339</v>
      </c>
      <c r="K242" s="130"/>
    </row>
    <row r="243" spans="1:11" hidden="1">
      <c r="A243" s="169" t="s">
        <v>34</v>
      </c>
      <c r="B243" s="149" t="s">
        <v>65</v>
      </c>
      <c r="C243" s="160">
        <v>43368</v>
      </c>
      <c r="D243" s="130" t="s">
        <v>334</v>
      </c>
      <c r="E243" s="130"/>
      <c r="F243" s="130"/>
      <c r="G243" s="130" t="s">
        <v>85</v>
      </c>
      <c r="H243" s="130" t="s">
        <v>340</v>
      </c>
      <c r="I243" s="130" t="s">
        <v>69</v>
      </c>
      <c r="J243" s="130" t="s">
        <v>267</v>
      </c>
      <c r="K243" s="130"/>
    </row>
    <row r="244" spans="1:11" hidden="1">
      <c r="A244" s="169" t="s">
        <v>34</v>
      </c>
      <c r="B244" s="149" t="s">
        <v>65</v>
      </c>
      <c r="C244" s="160">
        <v>43368</v>
      </c>
      <c r="D244" s="130" t="s">
        <v>334</v>
      </c>
      <c r="E244" s="130"/>
      <c r="F244" s="130"/>
      <c r="G244" s="130" t="s">
        <v>85</v>
      </c>
      <c r="H244" s="130" t="s">
        <v>341</v>
      </c>
      <c r="I244" s="130" t="s">
        <v>69</v>
      </c>
      <c r="J244" s="130" t="s">
        <v>269</v>
      </c>
      <c r="K244" s="130"/>
    </row>
    <row r="245" spans="1:11" hidden="1">
      <c r="A245" s="169" t="s">
        <v>34</v>
      </c>
      <c r="B245" s="149" t="s">
        <v>65</v>
      </c>
      <c r="C245" s="160">
        <v>43368</v>
      </c>
      <c r="D245" s="130" t="s">
        <v>334</v>
      </c>
      <c r="E245" s="130"/>
      <c r="F245" s="130"/>
      <c r="G245" s="130" t="s">
        <v>85</v>
      </c>
      <c r="H245" s="130" t="s">
        <v>342</v>
      </c>
      <c r="I245" s="130" t="s">
        <v>69</v>
      </c>
      <c r="J245" s="130" t="s">
        <v>271</v>
      </c>
      <c r="K245" s="130"/>
    </row>
    <row r="246" spans="1:11" hidden="1">
      <c r="A246" s="169" t="s">
        <v>34</v>
      </c>
      <c r="B246" s="149" t="s">
        <v>65</v>
      </c>
      <c r="C246" s="160">
        <v>43368</v>
      </c>
      <c r="D246" s="130" t="s">
        <v>334</v>
      </c>
      <c r="E246" s="130"/>
      <c r="F246" s="130"/>
      <c r="G246" s="130" t="s">
        <v>85</v>
      </c>
      <c r="H246" s="130" t="s">
        <v>343</v>
      </c>
      <c r="I246" s="130" t="s">
        <v>69</v>
      </c>
      <c r="J246" s="130" t="s">
        <v>273</v>
      </c>
      <c r="K246" s="130"/>
    </row>
    <row r="247" spans="1:11" ht="66" hidden="1">
      <c r="A247" s="169" t="s">
        <v>34</v>
      </c>
      <c r="B247" s="149" t="s">
        <v>65</v>
      </c>
      <c r="C247" s="160">
        <v>43368</v>
      </c>
      <c r="D247" s="130" t="s">
        <v>334</v>
      </c>
      <c r="E247" s="130"/>
      <c r="F247" s="130"/>
      <c r="G247" s="130" t="s">
        <v>85</v>
      </c>
      <c r="H247" s="130" t="s">
        <v>344</v>
      </c>
      <c r="I247" s="130" t="s">
        <v>69</v>
      </c>
      <c r="J247" s="130" t="s">
        <v>277</v>
      </c>
      <c r="K247" s="130"/>
    </row>
    <row r="248" spans="1:11" hidden="1">
      <c r="A248" s="169" t="s">
        <v>34</v>
      </c>
      <c r="B248" s="149" t="s">
        <v>65</v>
      </c>
      <c r="C248" s="160">
        <v>43368</v>
      </c>
      <c r="D248" s="130" t="s">
        <v>334</v>
      </c>
      <c r="E248" s="130"/>
      <c r="F248" s="130"/>
      <c r="G248" s="130" t="s">
        <v>85</v>
      </c>
      <c r="H248" s="130" t="s">
        <v>345</v>
      </c>
      <c r="I248" s="130" t="s">
        <v>69</v>
      </c>
      <c r="J248" s="130" t="s">
        <v>279</v>
      </c>
      <c r="K248" s="130"/>
    </row>
    <row r="249" spans="1:11" ht="79.150000000000006" hidden="1">
      <c r="A249" s="169" t="s">
        <v>34</v>
      </c>
      <c r="B249" s="149" t="s">
        <v>65</v>
      </c>
      <c r="C249" s="160">
        <v>43368</v>
      </c>
      <c r="D249" s="130" t="s">
        <v>334</v>
      </c>
      <c r="E249" s="130"/>
      <c r="F249" s="130"/>
      <c r="G249" s="130" t="s">
        <v>85</v>
      </c>
      <c r="H249" s="130" t="s">
        <v>346</v>
      </c>
      <c r="I249" s="130" t="s">
        <v>69</v>
      </c>
      <c r="J249" s="130" t="s">
        <v>281</v>
      </c>
      <c r="K249" s="130"/>
    </row>
    <row r="250" spans="1:11" hidden="1">
      <c r="A250" s="169" t="s">
        <v>34</v>
      </c>
      <c r="B250" s="149" t="s">
        <v>65</v>
      </c>
      <c r="C250" s="160">
        <v>43368</v>
      </c>
      <c r="D250" s="130" t="s">
        <v>334</v>
      </c>
      <c r="E250" s="130"/>
      <c r="F250" s="130"/>
      <c r="G250" s="130" t="s">
        <v>85</v>
      </c>
      <c r="H250" s="130" t="s">
        <v>124</v>
      </c>
      <c r="I250" s="130" t="s">
        <v>347</v>
      </c>
      <c r="J250" s="130" t="s">
        <v>347</v>
      </c>
      <c r="K250" s="130"/>
    </row>
    <row r="251" spans="1:11" ht="26.45" hidden="1">
      <c r="A251" s="169" t="s">
        <v>34</v>
      </c>
      <c r="B251" s="149" t="s">
        <v>65</v>
      </c>
      <c r="C251" s="160">
        <v>43368</v>
      </c>
      <c r="D251" s="130" t="s">
        <v>334</v>
      </c>
      <c r="E251" s="130"/>
      <c r="F251" s="130"/>
      <c r="G251" s="130" t="s">
        <v>85</v>
      </c>
      <c r="H251" s="130" t="s">
        <v>322</v>
      </c>
      <c r="I251" s="130" t="s">
        <v>348</v>
      </c>
      <c r="J251" s="130" t="s">
        <v>316</v>
      </c>
      <c r="K251" s="130"/>
    </row>
    <row r="252" spans="1:11" ht="26.45" hidden="1">
      <c r="A252" s="169" t="s">
        <v>34</v>
      </c>
      <c r="B252" s="149" t="s">
        <v>65</v>
      </c>
      <c r="C252" s="160">
        <v>43368</v>
      </c>
      <c r="D252" s="130" t="s">
        <v>334</v>
      </c>
      <c r="E252" s="130"/>
      <c r="F252" s="130"/>
      <c r="G252" s="130" t="s">
        <v>85</v>
      </c>
      <c r="H252" s="130" t="s">
        <v>349</v>
      </c>
      <c r="I252" s="130" t="s">
        <v>350</v>
      </c>
      <c r="J252" s="130" t="s">
        <v>265</v>
      </c>
      <c r="K252" s="130"/>
    </row>
    <row r="253" spans="1:11" hidden="1">
      <c r="A253" s="169" t="s">
        <v>34</v>
      </c>
      <c r="B253" s="149" t="s">
        <v>65</v>
      </c>
      <c r="C253" s="160">
        <v>43368</v>
      </c>
      <c r="D253" s="130" t="s">
        <v>334</v>
      </c>
      <c r="E253" s="130"/>
      <c r="F253" s="130"/>
      <c r="G253" s="130" t="s">
        <v>85</v>
      </c>
      <c r="H253" s="130" t="s">
        <v>351</v>
      </c>
      <c r="I253" s="130" t="s">
        <v>352</v>
      </c>
      <c r="J253" s="130" t="s">
        <v>267</v>
      </c>
      <c r="K253" s="130"/>
    </row>
    <row r="254" spans="1:11" hidden="1">
      <c r="A254" s="169" t="s">
        <v>34</v>
      </c>
      <c r="B254" s="149" t="s">
        <v>65</v>
      </c>
      <c r="C254" s="160">
        <v>43368</v>
      </c>
      <c r="D254" s="130" t="s">
        <v>334</v>
      </c>
      <c r="E254" s="130"/>
      <c r="F254" s="130"/>
      <c r="G254" s="130" t="s">
        <v>85</v>
      </c>
      <c r="H254" s="130" t="s">
        <v>353</v>
      </c>
      <c r="I254" s="130" t="s">
        <v>69</v>
      </c>
      <c r="J254" s="130" t="s">
        <v>271</v>
      </c>
      <c r="K254" s="130"/>
    </row>
    <row r="255" spans="1:11" hidden="1">
      <c r="A255" s="169" t="s">
        <v>34</v>
      </c>
      <c r="B255" s="149" t="s">
        <v>65</v>
      </c>
      <c r="C255" s="160">
        <v>43368</v>
      </c>
      <c r="D255" s="130" t="s">
        <v>334</v>
      </c>
      <c r="E255" s="130"/>
      <c r="F255" s="130"/>
      <c r="G255" s="130" t="s">
        <v>85</v>
      </c>
      <c r="H255" s="130" t="s">
        <v>354</v>
      </c>
      <c r="I255" s="130" t="s">
        <v>69</v>
      </c>
      <c r="J255" s="130" t="s">
        <v>273</v>
      </c>
      <c r="K255" s="130"/>
    </row>
    <row r="256" spans="1:11" hidden="1">
      <c r="A256" s="169" t="s">
        <v>34</v>
      </c>
      <c r="B256" s="149" t="s">
        <v>65</v>
      </c>
      <c r="C256" s="160">
        <v>43368</v>
      </c>
      <c r="D256" s="130" t="s">
        <v>334</v>
      </c>
      <c r="E256" s="130"/>
      <c r="F256" s="130"/>
      <c r="G256" s="130" t="s">
        <v>85</v>
      </c>
      <c r="H256" s="130" t="s">
        <v>355</v>
      </c>
      <c r="I256" s="130" t="s">
        <v>69</v>
      </c>
      <c r="J256" s="130" t="s">
        <v>279</v>
      </c>
      <c r="K256" s="130"/>
    </row>
    <row r="257" spans="1:11" hidden="1">
      <c r="A257" s="169" t="s">
        <v>34</v>
      </c>
      <c r="B257" s="149" t="s">
        <v>65</v>
      </c>
      <c r="C257" s="160">
        <v>43368</v>
      </c>
      <c r="D257" s="130" t="s">
        <v>334</v>
      </c>
      <c r="E257" s="130"/>
      <c r="F257" s="130"/>
      <c r="G257" s="130" t="s">
        <v>85</v>
      </c>
      <c r="H257" s="130" t="s">
        <v>356</v>
      </c>
      <c r="I257" s="130" t="s">
        <v>357</v>
      </c>
      <c r="J257" s="130" t="s">
        <v>358</v>
      </c>
      <c r="K257" s="130"/>
    </row>
    <row r="258" spans="1:11" hidden="1">
      <c r="A258" s="169" t="s">
        <v>34</v>
      </c>
      <c r="B258" s="149" t="s">
        <v>65</v>
      </c>
      <c r="C258" s="160">
        <v>43368</v>
      </c>
      <c r="D258" s="130" t="s">
        <v>334</v>
      </c>
      <c r="E258" s="130"/>
      <c r="F258" s="130"/>
      <c r="G258" s="130" t="s">
        <v>85</v>
      </c>
      <c r="H258" s="130" t="s">
        <v>359</v>
      </c>
      <c r="I258" s="130" t="s">
        <v>360</v>
      </c>
      <c r="J258" s="130" t="s">
        <v>269</v>
      </c>
      <c r="K258" s="130"/>
    </row>
    <row r="259" spans="1:11" hidden="1">
      <c r="A259" s="169" t="s">
        <v>34</v>
      </c>
      <c r="B259" s="149" t="s">
        <v>65</v>
      </c>
      <c r="C259" s="160">
        <v>43368</v>
      </c>
      <c r="D259" s="130" t="s">
        <v>334</v>
      </c>
      <c r="E259" s="130"/>
      <c r="F259" s="130"/>
      <c r="G259" s="130" t="s">
        <v>85</v>
      </c>
      <c r="H259" s="130" t="s">
        <v>361</v>
      </c>
      <c r="I259" s="130" t="s">
        <v>362</v>
      </c>
      <c r="J259" s="130" t="s">
        <v>69</v>
      </c>
      <c r="K259" s="130"/>
    </row>
    <row r="260" spans="1:11" hidden="1">
      <c r="A260" s="169" t="s">
        <v>34</v>
      </c>
      <c r="B260" s="149" t="s">
        <v>65</v>
      </c>
      <c r="C260" s="160">
        <v>43368</v>
      </c>
      <c r="D260" s="130" t="s">
        <v>334</v>
      </c>
      <c r="E260" s="130"/>
      <c r="F260" s="130"/>
      <c r="G260" s="130" t="s">
        <v>85</v>
      </c>
      <c r="H260" s="130" t="s">
        <v>363</v>
      </c>
      <c r="I260" s="130" t="s">
        <v>364</v>
      </c>
      <c r="J260" s="130" t="s">
        <v>69</v>
      </c>
      <c r="K260" s="130"/>
    </row>
    <row r="261" spans="1:11" hidden="1">
      <c r="A261" s="169" t="s">
        <v>34</v>
      </c>
      <c r="B261" s="149" t="s">
        <v>65</v>
      </c>
      <c r="C261" s="160">
        <v>43368</v>
      </c>
      <c r="D261" s="130" t="s">
        <v>334</v>
      </c>
      <c r="E261" s="130"/>
      <c r="F261" s="130"/>
      <c r="G261" s="130" t="s">
        <v>85</v>
      </c>
      <c r="H261" s="130" t="s">
        <v>262</v>
      </c>
      <c r="I261" s="130" t="s">
        <v>365</v>
      </c>
      <c r="J261" s="130" t="s">
        <v>69</v>
      </c>
      <c r="K261" s="130"/>
    </row>
    <row r="262" spans="1:11" hidden="1">
      <c r="A262" s="169" t="s">
        <v>34</v>
      </c>
      <c r="B262" s="149" t="s">
        <v>65</v>
      </c>
      <c r="C262" s="160">
        <v>43368</v>
      </c>
      <c r="D262" s="130" t="s">
        <v>334</v>
      </c>
      <c r="E262" s="130"/>
      <c r="F262" s="130"/>
      <c r="G262" s="130" t="s">
        <v>85</v>
      </c>
      <c r="H262" s="130" t="s">
        <v>366</v>
      </c>
      <c r="I262" s="130" t="s">
        <v>367</v>
      </c>
      <c r="J262" s="130" t="s">
        <v>69</v>
      </c>
      <c r="K262" s="130"/>
    </row>
    <row r="263" spans="1:11" hidden="1">
      <c r="A263" s="169" t="s">
        <v>34</v>
      </c>
      <c r="B263" s="149" t="s">
        <v>65</v>
      </c>
      <c r="C263" s="160">
        <v>43368</v>
      </c>
      <c r="D263" s="130" t="s">
        <v>334</v>
      </c>
      <c r="E263" s="130"/>
      <c r="F263" s="130"/>
      <c r="G263" s="130" t="s">
        <v>85</v>
      </c>
      <c r="H263" s="130" t="s">
        <v>266</v>
      </c>
      <c r="I263" s="130" t="s">
        <v>368</v>
      </c>
      <c r="J263" s="130" t="s">
        <v>69</v>
      </c>
      <c r="K263" s="130"/>
    </row>
    <row r="264" spans="1:11" hidden="1">
      <c r="A264" s="169" t="s">
        <v>34</v>
      </c>
      <c r="B264" s="149" t="s">
        <v>65</v>
      </c>
      <c r="C264" s="160">
        <v>43368</v>
      </c>
      <c r="D264" s="130" t="s">
        <v>334</v>
      </c>
      <c r="E264" s="130"/>
      <c r="F264" s="130"/>
      <c r="G264" s="130" t="s">
        <v>85</v>
      </c>
      <c r="H264" s="130" t="s">
        <v>369</v>
      </c>
      <c r="I264" s="130" t="s">
        <v>370</v>
      </c>
      <c r="J264" s="130" t="s">
        <v>69</v>
      </c>
      <c r="K264" s="130"/>
    </row>
    <row r="265" spans="1:11" hidden="1">
      <c r="A265" s="169" t="s">
        <v>34</v>
      </c>
      <c r="B265" s="149" t="s">
        <v>65</v>
      </c>
      <c r="C265" s="160">
        <v>43368</v>
      </c>
      <c r="D265" s="130" t="s">
        <v>334</v>
      </c>
      <c r="E265" s="130"/>
      <c r="F265" s="130"/>
      <c r="G265" s="130" t="s">
        <v>85</v>
      </c>
      <c r="H265" s="130" t="s">
        <v>371</v>
      </c>
      <c r="I265" s="130" t="s">
        <v>372</v>
      </c>
      <c r="J265" s="130" t="s">
        <v>69</v>
      </c>
      <c r="K265" s="130"/>
    </row>
    <row r="266" spans="1:11" hidden="1">
      <c r="A266" s="169" t="s">
        <v>34</v>
      </c>
      <c r="B266" s="149" t="s">
        <v>65</v>
      </c>
      <c r="C266" s="160">
        <v>43368</v>
      </c>
      <c r="D266" s="130" t="s">
        <v>334</v>
      </c>
      <c r="E266" s="130"/>
      <c r="F266" s="130"/>
      <c r="G266" s="130" t="s">
        <v>85</v>
      </c>
      <c r="H266" s="130" t="s">
        <v>373</v>
      </c>
      <c r="I266" s="130" t="s">
        <v>374</v>
      </c>
      <c r="J266" s="130" t="s">
        <v>69</v>
      </c>
      <c r="K266" s="130"/>
    </row>
    <row r="267" spans="1:11" hidden="1">
      <c r="A267" s="169" t="s">
        <v>34</v>
      </c>
      <c r="B267" s="149" t="s">
        <v>65</v>
      </c>
      <c r="C267" s="160">
        <v>43368</v>
      </c>
      <c r="D267" s="130" t="s">
        <v>334</v>
      </c>
      <c r="E267" s="130"/>
      <c r="F267" s="130"/>
      <c r="G267" s="130" t="s">
        <v>85</v>
      </c>
      <c r="H267" s="130" t="s">
        <v>375</v>
      </c>
      <c r="I267" s="130" t="s">
        <v>376</v>
      </c>
      <c r="J267" s="130" t="s">
        <v>69</v>
      </c>
      <c r="K267" s="130"/>
    </row>
    <row r="268" spans="1:11" hidden="1">
      <c r="A268" s="169" t="s">
        <v>34</v>
      </c>
      <c r="B268" s="149" t="s">
        <v>65</v>
      </c>
      <c r="C268" s="160">
        <v>43368</v>
      </c>
      <c r="D268" s="130" t="s">
        <v>334</v>
      </c>
      <c r="E268" s="130"/>
      <c r="F268" s="130"/>
      <c r="G268" s="130" t="s">
        <v>85</v>
      </c>
      <c r="H268" s="130" t="s">
        <v>377</v>
      </c>
      <c r="I268" s="130" t="s">
        <v>378</v>
      </c>
      <c r="J268" s="130" t="s">
        <v>69</v>
      </c>
      <c r="K268" s="130"/>
    </row>
    <row r="269" spans="1:11" hidden="1">
      <c r="A269" s="169" t="s">
        <v>34</v>
      </c>
      <c r="B269" s="149" t="s">
        <v>65</v>
      </c>
      <c r="C269" s="160">
        <v>43368</v>
      </c>
      <c r="D269" s="130" t="s">
        <v>334</v>
      </c>
      <c r="E269" s="130"/>
      <c r="F269" s="130"/>
      <c r="G269" s="130" t="s">
        <v>85</v>
      </c>
      <c r="H269" s="130" t="s">
        <v>379</v>
      </c>
      <c r="I269" s="130" t="s">
        <v>380</v>
      </c>
      <c r="J269" s="130" t="s">
        <v>69</v>
      </c>
      <c r="K269" s="130"/>
    </row>
    <row r="270" spans="1:11" hidden="1">
      <c r="A270" s="169" t="s">
        <v>34</v>
      </c>
      <c r="B270" s="149" t="s">
        <v>65</v>
      </c>
      <c r="C270" s="160">
        <v>43368</v>
      </c>
      <c r="D270" s="130" t="s">
        <v>334</v>
      </c>
      <c r="E270" s="130"/>
      <c r="F270" s="130"/>
      <c r="G270" s="130" t="s">
        <v>85</v>
      </c>
      <c r="H270" s="130" t="s">
        <v>381</v>
      </c>
      <c r="I270" s="130" t="s">
        <v>382</v>
      </c>
      <c r="J270" s="130" t="s">
        <v>69</v>
      </c>
      <c r="K270" s="130"/>
    </row>
    <row r="271" spans="1:11" hidden="1">
      <c r="A271" s="169" t="s">
        <v>34</v>
      </c>
      <c r="B271" s="149" t="s">
        <v>65</v>
      </c>
      <c r="C271" s="160">
        <v>43368</v>
      </c>
      <c r="D271" s="130" t="s">
        <v>334</v>
      </c>
      <c r="E271" s="130"/>
      <c r="F271" s="130"/>
      <c r="G271" s="130" t="s">
        <v>85</v>
      </c>
      <c r="H271" s="130" t="s">
        <v>383</v>
      </c>
      <c r="I271" s="130" t="s">
        <v>384</v>
      </c>
      <c r="J271" s="130" t="s">
        <v>69</v>
      </c>
      <c r="K271" s="130"/>
    </row>
    <row r="272" spans="1:11" hidden="1">
      <c r="A272" s="169" t="s">
        <v>34</v>
      </c>
      <c r="B272" s="149" t="s">
        <v>65</v>
      </c>
      <c r="C272" s="160">
        <v>43368</v>
      </c>
      <c r="D272" s="130" t="s">
        <v>334</v>
      </c>
      <c r="E272" s="130"/>
      <c r="F272" s="130"/>
      <c r="G272" s="130" t="s">
        <v>85</v>
      </c>
      <c r="H272" s="130" t="s">
        <v>385</v>
      </c>
      <c r="I272" s="130" t="s">
        <v>386</v>
      </c>
      <c r="J272" s="130" t="s">
        <v>69</v>
      </c>
      <c r="K272" s="130"/>
    </row>
    <row r="273" spans="1:11" hidden="1">
      <c r="A273" s="169" t="s">
        <v>34</v>
      </c>
      <c r="B273" s="149" t="s">
        <v>65</v>
      </c>
      <c r="C273" s="160">
        <v>43368</v>
      </c>
      <c r="D273" s="130" t="s">
        <v>334</v>
      </c>
      <c r="E273" s="130"/>
      <c r="F273" s="130"/>
      <c r="G273" s="130" t="s">
        <v>85</v>
      </c>
      <c r="H273" s="130" t="s">
        <v>387</v>
      </c>
      <c r="I273" s="130" t="s">
        <v>388</v>
      </c>
      <c r="J273" s="130" t="s">
        <v>69</v>
      </c>
      <c r="K273" s="130"/>
    </row>
    <row r="274" spans="1:11" hidden="1">
      <c r="A274" s="169" t="s">
        <v>34</v>
      </c>
      <c r="B274" s="149" t="s">
        <v>65</v>
      </c>
      <c r="C274" s="160">
        <v>43368</v>
      </c>
      <c r="D274" s="130" t="s">
        <v>334</v>
      </c>
      <c r="E274" s="130"/>
      <c r="F274" s="130"/>
      <c r="G274" s="130" t="s">
        <v>85</v>
      </c>
      <c r="H274" s="130" t="s">
        <v>389</v>
      </c>
      <c r="I274" s="130" t="s">
        <v>390</v>
      </c>
      <c r="J274" s="130" t="s">
        <v>69</v>
      </c>
      <c r="K274" s="130"/>
    </row>
    <row r="275" spans="1:11" ht="26.45" hidden="1">
      <c r="A275" s="169" t="s">
        <v>34</v>
      </c>
      <c r="B275" s="149" t="s">
        <v>65</v>
      </c>
      <c r="C275" s="160">
        <v>43368</v>
      </c>
      <c r="D275" s="130" t="s">
        <v>47</v>
      </c>
      <c r="E275" s="130"/>
      <c r="F275" s="130"/>
      <c r="G275" s="130" t="s">
        <v>85</v>
      </c>
      <c r="H275" s="130" t="s">
        <v>391</v>
      </c>
      <c r="I275" s="130" t="s">
        <v>392</v>
      </c>
      <c r="J275" s="130" t="s">
        <v>69</v>
      </c>
      <c r="K275" s="130"/>
    </row>
    <row r="276" spans="1:11" ht="26.45" hidden="1">
      <c r="A276" s="169" t="s">
        <v>34</v>
      </c>
      <c r="B276" s="149" t="s">
        <v>65</v>
      </c>
      <c r="C276" s="160">
        <v>43368</v>
      </c>
      <c r="D276" s="130" t="s">
        <v>47</v>
      </c>
      <c r="E276" s="130"/>
      <c r="F276" s="130"/>
      <c r="G276" s="130" t="s">
        <v>85</v>
      </c>
      <c r="H276" s="130" t="s">
        <v>393</v>
      </c>
      <c r="I276" s="130" t="s">
        <v>394</v>
      </c>
      <c r="J276" s="130" t="s">
        <v>69</v>
      </c>
      <c r="K276" s="130"/>
    </row>
    <row r="277" spans="1:11" ht="26.45" hidden="1">
      <c r="A277" s="169" t="s">
        <v>34</v>
      </c>
      <c r="B277" s="149" t="s">
        <v>65</v>
      </c>
      <c r="C277" s="160">
        <v>43368</v>
      </c>
      <c r="D277" s="130" t="s">
        <v>47</v>
      </c>
      <c r="E277" s="130"/>
      <c r="F277" s="130"/>
      <c r="G277" s="130" t="s">
        <v>85</v>
      </c>
      <c r="H277" s="130" t="s">
        <v>395</v>
      </c>
      <c r="I277" s="130" t="s">
        <v>396</v>
      </c>
      <c r="J277" s="130" t="s">
        <v>69</v>
      </c>
      <c r="K277" s="130"/>
    </row>
    <row r="278" spans="1:11" ht="26.45" hidden="1">
      <c r="A278" s="169" t="s">
        <v>34</v>
      </c>
      <c r="B278" s="149" t="s">
        <v>65</v>
      </c>
      <c r="C278" s="160">
        <v>43368</v>
      </c>
      <c r="D278" s="130" t="s">
        <v>47</v>
      </c>
      <c r="E278" s="130"/>
      <c r="F278" s="130"/>
      <c r="G278" s="130" t="s">
        <v>85</v>
      </c>
      <c r="H278" s="130" t="s">
        <v>397</v>
      </c>
      <c r="I278" s="130" t="s">
        <v>398</v>
      </c>
      <c r="J278" s="130" t="s">
        <v>69</v>
      </c>
      <c r="K278" s="130"/>
    </row>
    <row r="279" spans="1:11" ht="26.45" hidden="1">
      <c r="A279" s="169" t="s">
        <v>34</v>
      </c>
      <c r="B279" s="149" t="s">
        <v>65</v>
      </c>
      <c r="C279" s="160">
        <v>43368</v>
      </c>
      <c r="D279" s="130" t="s">
        <v>47</v>
      </c>
      <c r="E279" s="130"/>
      <c r="F279" s="130"/>
      <c r="G279" s="130" t="s">
        <v>85</v>
      </c>
      <c r="H279" s="130" t="s">
        <v>268</v>
      </c>
      <c r="I279" s="130" t="s">
        <v>399</v>
      </c>
      <c r="J279" s="130" t="s">
        <v>69</v>
      </c>
      <c r="K279" s="130"/>
    </row>
    <row r="280" spans="1:11" hidden="1">
      <c r="A280" s="169" t="s">
        <v>34</v>
      </c>
      <c r="B280" s="149" t="s">
        <v>65</v>
      </c>
      <c r="C280" s="160">
        <v>43369</v>
      </c>
      <c r="D280" s="130" t="s">
        <v>47</v>
      </c>
      <c r="E280" s="130"/>
      <c r="F280" s="130"/>
      <c r="G280" s="130" t="s">
        <v>85</v>
      </c>
      <c r="H280" s="130" t="s">
        <v>400</v>
      </c>
      <c r="I280" s="130" t="s">
        <v>59</v>
      </c>
      <c r="J280" s="130" t="s">
        <v>69</v>
      </c>
      <c r="K280" s="130" t="s">
        <v>401</v>
      </c>
    </row>
    <row r="281" spans="1:11" hidden="1">
      <c r="A281" s="169" t="s">
        <v>34</v>
      </c>
      <c r="B281" s="149" t="s">
        <v>402</v>
      </c>
      <c r="C281" s="160">
        <v>43735</v>
      </c>
      <c r="D281" s="160" t="s">
        <v>48</v>
      </c>
      <c r="E281" s="130" t="s">
        <v>47</v>
      </c>
      <c r="F281" s="130" t="s">
        <v>47</v>
      </c>
      <c r="G281" s="130" t="s">
        <v>85</v>
      </c>
      <c r="H281" s="130" t="s">
        <v>403</v>
      </c>
      <c r="I281" s="130" t="s">
        <v>59</v>
      </c>
      <c r="J281" s="130"/>
      <c r="K281" s="130" t="s">
        <v>404</v>
      </c>
    </row>
    <row r="282" spans="1:11" hidden="1">
      <c r="A282" s="169" t="s">
        <v>34</v>
      </c>
      <c r="B282" s="149" t="s">
        <v>402</v>
      </c>
      <c r="C282" s="160">
        <v>43735</v>
      </c>
      <c r="D282" s="160" t="s">
        <v>48</v>
      </c>
      <c r="E282" s="130" t="s">
        <v>47</v>
      </c>
      <c r="F282" s="130" t="s">
        <v>47</v>
      </c>
      <c r="G282" s="130" t="s">
        <v>85</v>
      </c>
      <c r="H282" s="130" t="s">
        <v>328</v>
      </c>
      <c r="I282" s="130" t="s">
        <v>405</v>
      </c>
      <c r="J282" s="130" t="s">
        <v>406</v>
      </c>
      <c r="K282" s="130" t="s">
        <v>407</v>
      </c>
    </row>
    <row r="283" spans="1:11" hidden="1">
      <c r="A283" s="169" t="s">
        <v>34</v>
      </c>
      <c r="B283" s="149" t="s">
        <v>402</v>
      </c>
      <c r="C283" s="160">
        <v>43735</v>
      </c>
      <c r="D283" s="160" t="s">
        <v>48</v>
      </c>
      <c r="E283" s="130" t="s">
        <v>47</v>
      </c>
      <c r="F283" s="130" t="s">
        <v>47</v>
      </c>
      <c r="G283" s="130" t="s">
        <v>85</v>
      </c>
      <c r="H283" s="130" t="s">
        <v>408</v>
      </c>
      <c r="I283" s="130" t="s">
        <v>59</v>
      </c>
      <c r="J283" s="130"/>
      <c r="K283" s="130" t="s">
        <v>407</v>
      </c>
    </row>
    <row r="284" spans="1:11" ht="26.45" hidden="1">
      <c r="A284" s="169" t="s">
        <v>34</v>
      </c>
      <c r="B284" s="149" t="s">
        <v>402</v>
      </c>
      <c r="C284" s="171">
        <v>43739</v>
      </c>
      <c r="D284" s="160" t="s">
        <v>48</v>
      </c>
      <c r="E284" s="130" t="s">
        <v>47</v>
      </c>
      <c r="F284" s="130" t="s">
        <v>47</v>
      </c>
      <c r="G284" s="130" t="s">
        <v>66</v>
      </c>
      <c r="H284" s="130" t="s">
        <v>409</v>
      </c>
      <c r="I284" s="130" t="s">
        <v>410</v>
      </c>
      <c r="J284" s="130" t="s">
        <v>69</v>
      </c>
      <c r="K284" s="130" t="s">
        <v>411</v>
      </c>
    </row>
    <row r="285" spans="1:11" ht="26.45" hidden="1">
      <c r="A285" s="169" t="s">
        <v>34</v>
      </c>
      <c r="B285" s="149" t="s">
        <v>402</v>
      </c>
      <c r="C285" s="171">
        <v>43739</v>
      </c>
      <c r="D285" s="160" t="s">
        <v>48</v>
      </c>
      <c r="E285" s="130" t="s">
        <v>47</v>
      </c>
      <c r="F285" s="130" t="s">
        <v>47</v>
      </c>
      <c r="G285" s="130" t="s">
        <v>66</v>
      </c>
      <c r="H285" s="130" t="s">
        <v>412</v>
      </c>
      <c r="I285" s="130" t="s">
        <v>413</v>
      </c>
      <c r="J285" s="130" t="s">
        <v>69</v>
      </c>
      <c r="K285" s="130" t="s">
        <v>414</v>
      </c>
    </row>
    <row r="286" spans="1:11" hidden="1">
      <c r="A286" s="169" t="s">
        <v>34</v>
      </c>
      <c r="B286" s="149" t="s">
        <v>402</v>
      </c>
      <c r="C286" s="171">
        <v>43739</v>
      </c>
      <c r="D286" s="160" t="s">
        <v>48</v>
      </c>
      <c r="E286" s="130" t="s">
        <v>47</v>
      </c>
      <c r="F286" s="130" t="s">
        <v>47</v>
      </c>
      <c r="G286" s="130" t="s">
        <v>66</v>
      </c>
      <c r="H286" s="130" t="s">
        <v>415</v>
      </c>
      <c r="I286" s="130"/>
      <c r="J286" s="130"/>
      <c r="K286" s="130" t="s">
        <v>416</v>
      </c>
    </row>
    <row r="287" spans="1:11" hidden="1">
      <c r="A287" s="169" t="s">
        <v>34</v>
      </c>
      <c r="B287" s="149" t="s">
        <v>402</v>
      </c>
      <c r="C287" s="171">
        <v>43739</v>
      </c>
      <c r="D287" s="160" t="s">
        <v>48</v>
      </c>
      <c r="E287" s="130" t="s">
        <v>47</v>
      </c>
      <c r="F287" s="130" t="s">
        <v>47</v>
      </c>
      <c r="G287" s="130" t="s">
        <v>66</v>
      </c>
      <c r="H287" s="130" t="s">
        <v>417</v>
      </c>
      <c r="I287" s="130" t="s">
        <v>418</v>
      </c>
      <c r="J287" s="130" t="s">
        <v>69</v>
      </c>
      <c r="K287" s="130" t="s">
        <v>416</v>
      </c>
    </row>
    <row r="288" spans="1:11" hidden="1">
      <c r="A288" s="169" t="s">
        <v>34</v>
      </c>
      <c r="B288" s="149" t="s">
        <v>402</v>
      </c>
      <c r="C288" s="171">
        <v>43739</v>
      </c>
      <c r="D288" s="160" t="s">
        <v>48</v>
      </c>
      <c r="E288" s="130" t="s">
        <v>47</v>
      </c>
      <c r="F288" s="130" t="s">
        <v>47</v>
      </c>
      <c r="G288" s="130" t="s">
        <v>66</v>
      </c>
      <c r="H288" s="130" t="s">
        <v>419</v>
      </c>
      <c r="I288" s="130" t="s">
        <v>420</v>
      </c>
      <c r="J288" s="130" t="s">
        <v>69</v>
      </c>
      <c r="K288" s="130" t="s">
        <v>416</v>
      </c>
    </row>
    <row r="289" spans="1:11" hidden="1">
      <c r="A289" s="169" t="s">
        <v>34</v>
      </c>
      <c r="B289" s="149" t="s">
        <v>402</v>
      </c>
      <c r="C289" s="171">
        <v>43739</v>
      </c>
      <c r="D289" s="160" t="s">
        <v>48</v>
      </c>
      <c r="E289" s="130" t="s">
        <v>47</v>
      </c>
      <c r="F289" s="130" t="s">
        <v>47</v>
      </c>
      <c r="G289" s="130" t="s">
        <v>66</v>
      </c>
      <c r="H289" s="130" t="s">
        <v>421</v>
      </c>
      <c r="I289" s="130" t="s">
        <v>422</v>
      </c>
      <c r="J289" s="130" t="s">
        <v>69</v>
      </c>
      <c r="K289" s="130" t="s">
        <v>416</v>
      </c>
    </row>
    <row r="290" spans="1:11" hidden="1">
      <c r="A290" s="169" t="s">
        <v>34</v>
      </c>
      <c r="B290" s="149" t="s">
        <v>402</v>
      </c>
      <c r="C290" s="171">
        <v>43739</v>
      </c>
      <c r="D290" s="160" t="s">
        <v>48</v>
      </c>
      <c r="E290" s="130" t="s">
        <v>47</v>
      </c>
      <c r="F290" s="130" t="s">
        <v>47</v>
      </c>
      <c r="G290" s="130" t="s">
        <v>66</v>
      </c>
      <c r="H290" s="130" t="s">
        <v>423</v>
      </c>
      <c r="I290" s="130" t="s">
        <v>424</v>
      </c>
      <c r="J290" s="130" t="s">
        <v>69</v>
      </c>
      <c r="K290" s="130" t="s">
        <v>425</v>
      </c>
    </row>
    <row r="291" spans="1:11" ht="26.45" hidden="1">
      <c r="A291" s="169" t="s">
        <v>34</v>
      </c>
      <c r="B291" s="149" t="s">
        <v>402</v>
      </c>
      <c r="C291" s="171">
        <v>43739</v>
      </c>
      <c r="D291" s="160" t="s">
        <v>48</v>
      </c>
      <c r="E291" s="130" t="s">
        <v>47</v>
      </c>
      <c r="F291" s="130" t="s">
        <v>47</v>
      </c>
      <c r="G291" s="130" t="s">
        <v>66</v>
      </c>
      <c r="H291" s="130" t="s">
        <v>426</v>
      </c>
      <c r="I291" s="130" t="s">
        <v>427</v>
      </c>
      <c r="J291" s="130" t="s">
        <v>69</v>
      </c>
      <c r="K291" s="130" t="s">
        <v>428</v>
      </c>
    </row>
    <row r="292" spans="1:11" ht="26.45" hidden="1">
      <c r="A292" s="169" t="s">
        <v>34</v>
      </c>
      <c r="B292" s="149" t="s">
        <v>402</v>
      </c>
      <c r="C292" s="171">
        <v>43739</v>
      </c>
      <c r="D292" s="160" t="s">
        <v>48</v>
      </c>
      <c r="E292" s="130" t="s">
        <v>47</v>
      </c>
      <c r="F292" s="130" t="s">
        <v>47</v>
      </c>
      <c r="G292" s="130" t="s">
        <v>66</v>
      </c>
      <c r="H292" s="130" t="s">
        <v>429</v>
      </c>
      <c r="I292" s="130"/>
      <c r="J292" s="130"/>
      <c r="K292" s="130" t="s">
        <v>428</v>
      </c>
    </row>
    <row r="293" spans="1:11" ht="26.45" hidden="1">
      <c r="A293" s="169" t="s">
        <v>34</v>
      </c>
      <c r="B293" s="149" t="s">
        <v>402</v>
      </c>
      <c r="C293" s="171">
        <v>43739</v>
      </c>
      <c r="D293" s="160" t="s">
        <v>48</v>
      </c>
      <c r="E293" s="130" t="s">
        <v>47</v>
      </c>
      <c r="F293" s="130" t="s">
        <v>47</v>
      </c>
      <c r="G293" s="130" t="s">
        <v>66</v>
      </c>
      <c r="H293" s="130" t="s">
        <v>430</v>
      </c>
      <c r="I293" s="130" t="s">
        <v>431</v>
      </c>
      <c r="J293" s="130" t="s">
        <v>69</v>
      </c>
      <c r="K293" s="130" t="s">
        <v>428</v>
      </c>
    </row>
    <row r="294" spans="1:11" ht="26.45" hidden="1">
      <c r="A294" s="169" t="s">
        <v>34</v>
      </c>
      <c r="B294" s="149" t="s">
        <v>402</v>
      </c>
      <c r="C294" s="171">
        <v>43739</v>
      </c>
      <c r="D294" s="160" t="s">
        <v>48</v>
      </c>
      <c r="E294" s="130" t="s">
        <v>47</v>
      </c>
      <c r="F294" s="130" t="s">
        <v>47</v>
      </c>
      <c r="G294" s="130" t="s">
        <v>66</v>
      </c>
      <c r="H294" s="130" t="s">
        <v>432</v>
      </c>
      <c r="I294" s="130" t="s">
        <v>433</v>
      </c>
      <c r="J294" s="130" t="s">
        <v>69</v>
      </c>
      <c r="K294" s="130" t="s">
        <v>428</v>
      </c>
    </row>
    <row r="295" spans="1:11" ht="26.45" hidden="1">
      <c r="A295" s="169" t="s">
        <v>34</v>
      </c>
      <c r="B295" s="149" t="s">
        <v>402</v>
      </c>
      <c r="C295" s="171">
        <v>43739</v>
      </c>
      <c r="D295" s="160" t="s">
        <v>48</v>
      </c>
      <c r="E295" s="130" t="s">
        <v>47</v>
      </c>
      <c r="F295" s="130" t="s">
        <v>47</v>
      </c>
      <c r="G295" s="130" t="s">
        <v>66</v>
      </c>
      <c r="H295" s="130" t="s">
        <v>434</v>
      </c>
      <c r="I295" s="130"/>
      <c r="J295" s="130"/>
      <c r="K295" s="130" t="s">
        <v>428</v>
      </c>
    </row>
    <row r="296" spans="1:11" ht="26.45" hidden="1">
      <c r="A296" s="169" t="s">
        <v>34</v>
      </c>
      <c r="B296" s="149" t="s">
        <v>402</v>
      </c>
      <c r="C296" s="171">
        <v>43739</v>
      </c>
      <c r="D296" s="160" t="s">
        <v>48</v>
      </c>
      <c r="E296" s="130" t="s">
        <v>47</v>
      </c>
      <c r="F296" s="130" t="s">
        <v>47</v>
      </c>
      <c r="G296" s="130" t="s">
        <v>66</v>
      </c>
      <c r="H296" s="130" t="s">
        <v>435</v>
      </c>
      <c r="I296" s="130" t="s">
        <v>436</v>
      </c>
      <c r="J296" s="130" t="s">
        <v>69</v>
      </c>
      <c r="K296" s="130" t="s">
        <v>428</v>
      </c>
    </row>
    <row r="297" spans="1:11" ht="26.45" hidden="1">
      <c r="A297" s="169" t="s">
        <v>34</v>
      </c>
      <c r="B297" s="149" t="s">
        <v>402</v>
      </c>
      <c r="C297" s="171">
        <v>43739</v>
      </c>
      <c r="D297" s="160" t="s">
        <v>48</v>
      </c>
      <c r="E297" s="130" t="s">
        <v>47</v>
      </c>
      <c r="F297" s="130" t="s">
        <v>47</v>
      </c>
      <c r="G297" s="130" t="s">
        <v>66</v>
      </c>
      <c r="H297" s="130" t="s">
        <v>437</v>
      </c>
      <c r="I297" s="130" t="s">
        <v>438</v>
      </c>
      <c r="J297" s="130" t="s">
        <v>69</v>
      </c>
      <c r="K297" s="130" t="s">
        <v>428</v>
      </c>
    </row>
    <row r="298" spans="1:11" ht="26.45" hidden="1">
      <c r="A298" s="169" t="s">
        <v>34</v>
      </c>
      <c r="B298" s="149" t="s">
        <v>402</v>
      </c>
      <c r="C298" s="171">
        <v>43739</v>
      </c>
      <c r="D298" s="160" t="s">
        <v>48</v>
      </c>
      <c r="E298" s="130" t="s">
        <v>47</v>
      </c>
      <c r="F298" s="130" t="s">
        <v>47</v>
      </c>
      <c r="G298" s="130" t="s">
        <v>66</v>
      </c>
      <c r="H298" s="130" t="s">
        <v>439</v>
      </c>
      <c r="I298" s="130" t="s">
        <v>440</v>
      </c>
      <c r="J298" s="130" t="s">
        <v>69</v>
      </c>
      <c r="K298" s="130" t="s">
        <v>428</v>
      </c>
    </row>
    <row r="299" spans="1:11" ht="26.45" hidden="1">
      <c r="A299" s="169" t="s">
        <v>34</v>
      </c>
      <c r="B299" s="149" t="s">
        <v>402</v>
      </c>
      <c r="C299" s="171">
        <v>43739</v>
      </c>
      <c r="D299" s="160" t="s">
        <v>48</v>
      </c>
      <c r="E299" s="130" t="s">
        <v>47</v>
      </c>
      <c r="F299" s="130" t="s">
        <v>47</v>
      </c>
      <c r="G299" s="130" t="s">
        <v>66</v>
      </c>
      <c r="H299" s="130" t="s">
        <v>441</v>
      </c>
      <c r="I299" s="130" t="s">
        <v>442</v>
      </c>
      <c r="J299" s="130" t="s">
        <v>69</v>
      </c>
      <c r="K299" s="130" t="s">
        <v>428</v>
      </c>
    </row>
    <row r="300" spans="1:11" ht="26.45" hidden="1">
      <c r="A300" s="169" t="s">
        <v>34</v>
      </c>
      <c r="B300" s="149" t="s">
        <v>402</v>
      </c>
      <c r="C300" s="171">
        <v>43739</v>
      </c>
      <c r="D300" s="160" t="s">
        <v>48</v>
      </c>
      <c r="E300" s="130" t="s">
        <v>47</v>
      </c>
      <c r="F300" s="130" t="s">
        <v>47</v>
      </c>
      <c r="G300" s="130" t="s">
        <v>66</v>
      </c>
      <c r="H300" s="130" t="s">
        <v>443</v>
      </c>
      <c r="I300" s="130"/>
      <c r="J300" s="130"/>
      <c r="K300" s="130" t="s">
        <v>428</v>
      </c>
    </row>
    <row r="301" spans="1:11" ht="26.45" hidden="1">
      <c r="A301" s="169" t="s">
        <v>34</v>
      </c>
      <c r="B301" s="149" t="s">
        <v>402</v>
      </c>
      <c r="C301" s="171">
        <v>43739</v>
      </c>
      <c r="D301" s="160" t="s">
        <v>48</v>
      </c>
      <c r="E301" s="130" t="s">
        <v>47</v>
      </c>
      <c r="F301" s="130" t="s">
        <v>47</v>
      </c>
      <c r="G301" s="130" t="s">
        <v>66</v>
      </c>
      <c r="H301" s="130" t="s">
        <v>444</v>
      </c>
      <c r="I301" s="130" t="s">
        <v>445</v>
      </c>
      <c r="J301" s="130" t="s">
        <v>69</v>
      </c>
      <c r="K301" s="130" t="s">
        <v>428</v>
      </c>
    </row>
    <row r="302" spans="1:11" ht="26.45" hidden="1">
      <c r="A302" s="169" t="s">
        <v>34</v>
      </c>
      <c r="B302" s="149" t="s">
        <v>402</v>
      </c>
      <c r="C302" s="171">
        <v>43739</v>
      </c>
      <c r="D302" s="160" t="s">
        <v>48</v>
      </c>
      <c r="E302" s="130" t="s">
        <v>47</v>
      </c>
      <c r="F302" s="130" t="s">
        <v>47</v>
      </c>
      <c r="G302" s="130" t="s">
        <v>66</v>
      </c>
      <c r="H302" s="130" t="s">
        <v>446</v>
      </c>
      <c r="I302" s="130" t="s">
        <v>447</v>
      </c>
      <c r="J302" s="130" t="s">
        <v>69</v>
      </c>
      <c r="K302" s="130" t="s">
        <v>428</v>
      </c>
    </row>
    <row r="303" spans="1:11" ht="26.45" hidden="1">
      <c r="A303" s="169" t="s">
        <v>34</v>
      </c>
      <c r="B303" s="149" t="s">
        <v>402</v>
      </c>
      <c r="C303" s="171">
        <v>43739</v>
      </c>
      <c r="D303" s="160" t="s">
        <v>48</v>
      </c>
      <c r="E303" s="130" t="s">
        <v>47</v>
      </c>
      <c r="F303" s="130" t="s">
        <v>47</v>
      </c>
      <c r="G303" s="130" t="s">
        <v>66</v>
      </c>
      <c r="H303" s="130" t="s">
        <v>448</v>
      </c>
      <c r="I303" s="130" t="s">
        <v>449</v>
      </c>
      <c r="J303" s="130" t="s">
        <v>69</v>
      </c>
      <c r="K303" s="130" t="s">
        <v>428</v>
      </c>
    </row>
    <row r="304" spans="1:11" ht="26.45" hidden="1">
      <c r="A304" s="169" t="s">
        <v>34</v>
      </c>
      <c r="B304" s="149" t="s">
        <v>402</v>
      </c>
      <c r="C304" s="171">
        <v>43739</v>
      </c>
      <c r="D304" s="160" t="s">
        <v>48</v>
      </c>
      <c r="E304" s="130" t="s">
        <v>47</v>
      </c>
      <c r="F304" s="130" t="s">
        <v>47</v>
      </c>
      <c r="G304" s="130" t="s">
        <v>66</v>
      </c>
      <c r="H304" s="130" t="s">
        <v>450</v>
      </c>
      <c r="I304" s="130" t="s">
        <v>451</v>
      </c>
      <c r="J304" s="130" t="s">
        <v>69</v>
      </c>
      <c r="K304" s="130" t="s">
        <v>428</v>
      </c>
    </row>
    <row r="305" spans="1:11" ht="26.45" hidden="1">
      <c r="A305" s="169" t="s">
        <v>34</v>
      </c>
      <c r="B305" s="149" t="s">
        <v>402</v>
      </c>
      <c r="C305" s="171">
        <v>43739</v>
      </c>
      <c r="D305" s="160" t="s">
        <v>48</v>
      </c>
      <c r="E305" s="130" t="s">
        <v>47</v>
      </c>
      <c r="F305" s="130" t="s">
        <v>47</v>
      </c>
      <c r="G305" s="130" t="s">
        <v>66</v>
      </c>
      <c r="H305" s="130" t="s">
        <v>452</v>
      </c>
      <c r="I305" s="130" t="s">
        <v>453</v>
      </c>
      <c r="J305" s="130" t="s">
        <v>69</v>
      </c>
      <c r="K305" s="130" t="s">
        <v>428</v>
      </c>
    </row>
    <row r="306" spans="1:11" ht="26.45" hidden="1">
      <c r="A306" s="169" t="s">
        <v>34</v>
      </c>
      <c r="B306" s="149" t="s">
        <v>402</v>
      </c>
      <c r="C306" s="171">
        <v>43739</v>
      </c>
      <c r="D306" s="160" t="s">
        <v>48</v>
      </c>
      <c r="E306" s="130" t="s">
        <v>47</v>
      </c>
      <c r="F306" s="130" t="s">
        <v>47</v>
      </c>
      <c r="G306" s="130" t="s">
        <v>66</v>
      </c>
      <c r="H306" s="130" t="s">
        <v>50</v>
      </c>
      <c r="I306" s="130" t="s">
        <v>454</v>
      </c>
      <c r="J306" s="130" t="s">
        <v>69</v>
      </c>
      <c r="K306" s="130" t="s">
        <v>455</v>
      </c>
    </row>
    <row r="307" spans="1:11" ht="26.45" hidden="1">
      <c r="A307" s="169" t="s">
        <v>34</v>
      </c>
      <c r="B307" s="149" t="s">
        <v>402</v>
      </c>
      <c r="C307" s="171">
        <v>43739</v>
      </c>
      <c r="D307" s="160" t="s">
        <v>48</v>
      </c>
      <c r="E307" s="130" t="s">
        <v>47</v>
      </c>
      <c r="F307" s="130" t="s">
        <v>47</v>
      </c>
      <c r="G307" s="130" t="s">
        <v>49</v>
      </c>
      <c r="H307" s="130" t="s">
        <v>409</v>
      </c>
      <c r="I307" s="130" t="s">
        <v>410</v>
      </c>
      <c r="J307" s="130" t="s">
        <v>69</v>
      </c>
      <c r="K307" s="130" t="s">
        <v>411</v>
      </c>
    </row>
    <row r="308" spans="1:11" ht="26.45" hidden="1">
      <c r="A308" s="169" t="s">
        <v>34</v>
      </c>
      <c r="B308" s="149" t="s">
        <v>402</v>
      </c>
      <c r="C308" s="171">
        <v>43739</v>
      </c>
      <c r="D308" s="160" t="s">
        <v>48</v>
      </c>
      <c r="E308" s="130" t="s">
        <v>47</v>
      </c>
      <c r="F308" s="130" t="s">
        <v>47</v>
      </c>
      <c r="G308" s="130" t="s">
        <v>49</v>
      </c>
      <c r="H308" s="130" t="s">
        <v>233</v>
      </c>
      <c r="I308" s="130" t="s">
        <v>413</v>
      </c>
      <c r="J308" s="130" t="s">
        <v>69</v>
      </c>
      <c r="K308" s="130" t="s">
        <v>414</v>
      </c>
    </row>
    <row r="309" spans="1:11" hidden="1">
      <c r="A309" s="169" t="s">
        <v>34</v>
      </c>
      <c r="B309" s="149" t="s">
        <v>402</v>
      </c>
      <c r="C309" s="171">
        <v>43739</v>
      </c>
      <c r="D309" s="160" t="s">
        <v>48</v>
      </c>
      <c r="E309" s="130" t="s">
        <v>47</v>
      </c>
      <c r="F309" s="130" t="s">
        <v>47</v>
      </c>
      <c r="G309" s="130" t="s">
        <v>49</v>
      </c>
      <c r="H309" s="130" t="s">
        <v>254</v>
      </c>
      <c r="I309" s="130" t="s">
        <v>418</v>
      </c>
      <c r="J309" s="130" t="s">
        <v>69</v>
      </c>
      <c r="K309" s="130" t="s">
        <v>416</v>
      </c>
    </row>
    <row r="310" spans="1:11" hidden="1">
      <c r="A310" s="169" t="s">
        <v>34</v>
      </c>
      <c r="B310" s="149" t="s">
        <v>402</v>
      </c>
      <c r="C310" s="171">
        <v>43739</v>
      </c>
      <c r="D310" s="160" t="s">
        <v>48</v>
      </c>
      <c r="E310" s="130" t="s">
        <v>47</v>
      </c>
      <c r="F310" s="130" t="s">
        <v>47</v>
      </c>
      <c r="G310" s="130" t="s">
        <v>49</v>
      </c>
      <c r="H310" s="130" t="s">
        <v>456</v>
      </c>
      <c r="I310" s="130" t="s">
        <v>420</v>
      </c>
      <c r="J310" s="130" t="s">
        <v>69</v>
      </c>
      <c r="K310" s="130" t="s">
        <v>416</v>
      </c>
    </row>
    <row r="311" spans="1:11" ht="26.45" hidden="1">
      <c r="A311" s="169" t="s">
        <v>34</v>
      </c>
      <c r="B311" s="149" t="s">
        <v>402</v>
      </c>
      <c r="C311" s="171">
        <v>43739</v>
      </c>
      <c r="D311" s="160" t="s">
        <v>48</v>
      </c>
      <c r="E311" s="130" t="s">
        <v>47</v>
      </c>
      <c r="F311" s="130" t="s">
        <v>47</v>
      </c>
      <c r="G311" s="130" t="s">
        <v>49</v>
      </c>
      <c r="H311" s="130" t="s">
        <v>92</v>
      </c>
      <c r="I311" s="130" t="s">
        <v>457</v>
      </c>
      <c r="J311" s="130" t="s">
        <v>69</v>
      </c>
      <c r="K311" s="130" t="s">
        <v>416</v>
      </c>
    </row>
    <row r="312" spans="1:11" hidden="1">
      <c r="A312" s="169" t="s">
        <v>34</v>
      </c>
      <c r="B312" s="149" t="s">
        <v>402</v>
      </c>
      <c r="C312" s="171">
        <v>43739</v>
      </c>
      <c r="D312" s="160" t="s">
        <v>48</v>
      </c>
      <c r="E312" s="130" t="s">
        <v>47</v>
      </c>
      <c r="F312" s="130" t="s">
        <v>47</v>
      </c>
      <c r="G312" s="130" t="s">
        <v>49</v>
      </c>
      <c r="H312" s="130" t="s">
        <v>458</v>
      </c>
      <c r="I312" s="130" t="s">
        <v>422</v>
      </c>
      <c r="J312" s="130" t="s">
        <v>69</v>
      </c>
      <c r="K312" s="130" t="s">
        <v>416</v>
      </c>
    </row>
    <row r="313" spans="1:11" hidden="1">
      <c r="A313" s="169" t="s">
        <v>34</v>
      </c>
      <c r="B313" s="149" t="s">
        <v>402</v>
      </c>
      <c r="C313" s="171">
        <v>43739</v>
      </c>
      <c r="D313" s="160" t="s">
        <v>48</v>
      </c>
      <c r="E313" s="130" t="s">
        <v>47</v>
      </c>
      <c r="F313" s="130" t="s">
        <v>47</v>
      </c>
      <c r="G313" s="130" t="s">
        <v>49</v>
      </c>
      <c r="H313" s="130" t="s">
        <v>237</v>
      </c>
      <c r="I313" s="130" t="s">
        <v>459</v>
      </c>
      <c r="J313" s="130" t="s">
        <v>69</v>
      </c>
      <c r="K313" s="130" t="s">
        <v>425</v>
      </c>
    </row>
    <row r="314" spans="1:11" ht="26.45" hidden="1">
      <c r="A314" s="169" t="s">
        <v>34</v>
      </c>
      <c r="B314" s="149" t="s">
        <v>402</v>
      </c>
      <c r="C314" s="171">
        <v>43739</v>
      </c>
      <c r="D314" s="160" t="s">
        <v>48</v>
      </c>
      <c r="E314" s="130" t="s">
        <v>47</v>
      </c>
      <c r="F314" s="130" t="s">
        <v>47</v>
      </c>
      <c r="G314" s="130" t="s">
        <v>49</v>
      </c>
      <c r="H314" s="130" t="s">
        <v>450</v>
      </c>
      <c r="I314" s="130" t="s">
        <v>427</v>
      </c>
      <c r="J314" s="130" t="s">
        <v>69</v>
      </c>
      <c r="K314" s="130" t="s">
        <v>428</v>
      </c>
    </row>
    <row r="315" spans="1:11" ht="26.45" hidden="1">
      <c r="A315" s="169" t="s">
        <v>34</v>
      </c>
      <c r="B315" s="149" t="s">
        <v>402</v>
      </c>
      <c r="C315" s="171">
        <v>43739</v>
      </c>
      <c r="D315" s="160" t="s">
        <v>48</v>
      </c>
      <c r="E315" s="130" t="s">
        <v>47</v>
      </c>
      <c r="F315" s="130" t="s">
        <v>47</v>
      </c>
      <c r="G315" s="130" t="s">
        <v>49</v>
      </c>
      <c r="H315" s="130" t="s">
        <v>460</v>
      </c>
      <c r="I315" s="130" t="s">
        <v>436</v>
      </c>
      <c r="J315" s="130" t="s">
        <v>69</v>
      </c>
      <c r="K315" s="130" t="s">
        <v>428</v>
      </c>
    </row>
    <row r="316" spans="1:11" ht="26.45" hidden="1">
      <c r="A316" s="169" t="s">
        <v>34</v>
      </c>
      <c r="B316" s="149" t="s">
        <v>402</v>
      </c>
      <c r="C316" s="171">
        <v>43739</v>
      </c>
      <c r="D316" s="160" t="s">
        <v>48</v>
      </c>
      <c r="E316" s="130" t="s">
        <v>47</v>
      </c>
      <c r="F316" s="130" t="s">
        <v>47</v>
      </c>
      <c r="G316" s="130" t="s">
        <v>49</v>
      </c>
      <c r="H316" s="130" t="s">
        <v>461</v>
      </c>
      <c r="I316" s="130" t="s">
        <v>438</v>
      </c>
      <c r="J316" s="130" t="s">
        <v>69</v>
      </c>
      <c r="K316" s="130" t="s">
        <v>428</v>
      </c>
    </row>
    <row r="317" spans="1:11" ht="26.45" hidden="1">
      <c r="A317" s="169" t="s">
        <v>34</v>
      </c>
      <c r="B317" s="149" t="s">
        <v>402</v>
      </c>
      <c r="C317" s="171">
        <v>43739</v>
      </c>
      <c r="D317" s="160" t="s">
        <v>48</v>
      </c>
      <c r="E317" s="130" t="s">
        <v>47</v>
      </c>
      <c r="F317" s="130" t="s">
        <v>47</v>
      </c>
      <c r="G317" s="130" t="s">
        <v>49</v>
      </c>
      <c r="H317" s="130" t="s">
        <v>462</v>
      </c>
      <c r="I317" s="130" t="s">
        <v>463</v>
      </c>
      <c r="J317" s="130" t="s">
        <v>69</v>
      </c>
      <c r="K317" s="130" t="s">
        <v>428</v>
      </c>
    </row>
    <row r="318" spans="1:11" ht="26.45" hidden="1">
      <c r="A318" s="169" t="s">
        <v>34</v>
      </c>
      <c r="B318" s="149" t="s">
        <v>402</v>
      </c>
      <c r="C318" s="171">
        <v>43739</v>
      </c>
      <c r="D318" s="160" t="s">
        <v>48</v>
      </c>
      <c r="E318" s="130" t="s">
        <v>47</v>
      </c>
      <c r="F318" s="130" t="s">
        <v>47</v>
      </c>
      <c r="G318" s="130" t="s">
        <v>49</v>
      </c>
      <c r="H318" s="130" t="s">
        <v>464</v>
      </c>
      <c r="I318" s="130" t="s">
        <v>445</v>
      </c>
      <c r="J318" s="130" t="s">
        <v>69</v>
      </c>
      <c r="K318" s="130" t="s">
        <v>428</v>
      </c>
    </row>
    <row r="319" spans="1:11" ht="26.45" hidden="1">
      <c r="A319" s="169" t="s">
        <v>34</v>
      </c>
      <c r="B319" s="149" t="s">
        <v>402</v>
      </c>
      <c r="C319" s="171">
        <v>43739</v>
      </c>
      <c r="D319" s="160" t="s">
        <v>48</v>
      </c>
      <c r="E319" s="130" t="s">
        <v>47</v>
      </c>
      <c r="F319" s="130" t="s">
        <v>47</v>
      </c>
      <c r="G319" s="130" t="s">
        <v>49</v>
      </c>
      <c r="H319" s="130" t="s">
        <v>465</v>
      </c>
      <c r="I319" s="130" t="s">
        <v>466</v>
      </c>
      <c r="J319" s="130" t="s">
        <v>69</v>
      </c>
      <c r="K319" s="130" t="s">
        <v>428</v>
      </c>
    </row>
    <row r="320" spans="1:11" ht="26.45" hidden="1">
      <c r="A320" s="169" t="s">
        <v>34</v>
      </c>
      <c r="B320" s="149" t="s">
        <v>402</v>
      </c>
      <c r="C320" s="171">
        <v>43739</v>
      </c>
      <c r="D320" s="160" t="s">
        <v>48</v>
      </c>
      <c r="E320" s="130" t="s">
        <v>47</v>
      </c>
      <c r="F320" s="130" t="s">
        <v>47</v>
      </c>
      <c r="G320" s="130" t="s">
        <v>49</v>
      </c>
      <c r="H320" s="130" t="s">
        <v>467</v>
      </c>
      <c r="I320" s="130" t="s">
        <v>447</v>
      </c>
      <c r="J320" s="130" t="s">
        <v>69</v>
      </c>
      <c r="K320" s="130" t="s">
        <v>428</v>
      </c>
    </row>
    <row r="321" spans="1:11" ht="26.45" hidden="1">
      <c r="A321" s="169" t="s">
        <v>34</v>
      </c>
      <c r="B321" s="149" t="s">
        <v>402</v>
      </c>
      <c r="C321" s="171">
        <v>43739</v>
      </c>
      <c r="D321" s="160" t="s">
        <v>48</v>
      </c>
      <c r="E321" s="130" t="s">
        <v>47</v>
      </c>
      <c r="F321" s="130" t="s">
        <v>47</v>
      </c>
      <c r="G321" s="130" t="s">
        <v>49</v>
      </c>
      <c r="H321" s="130" t="s">
        <v>468</v>
      </c>
      <c r="I321" s="130" t="s">
        <v>469</v>
      </c>
      <c r="J321" s="130" t="s">
        <v>69</v>
      </c>
      <c r="K321" s="130" t="s">
        <v>428</v>
      </c>
    </row>
    <row r="322" spans="1:11" ht="26.45" hidden="1">
      <c r="A322" s="169" t="s">
        <v>34</v>
      </c>
      <c r="B322" s="149" t="s">
        <v>402</v>
      </c>
      <c r="C322" s="171">
        <v>43739</v>
      </c>
      <c r="D322" s="160" t="s">
        <v>48</v>
      </c>
      <c r="E322" s="130" t="s">
        <v>47</v>
      </c>
      <c r="F322" s="130" t="s">
        <v>47</v>
      </c>
      <c r="G322" s="130" t="s">
        <v>49</v>
      </c>
      <c r="H322" s="130" t="s">
        <v>470</v>
      </c>
      <c r="I322" s="130" t="s">
        <v>451</v>
      </c>
      <c r="J322" s="130" t="s">
        <v>69</v>
      </c>
      <c r="K322" s="130" t="s">
        <v>428</v>
      </c>
    </row>
    <row r="323" spans="1:11" ht="26.45" hidden="1">
      <c r="A323" s="169" t="s">
        <v>34</v>
      </c>
      <c r="B323" s="149" t="s">
        <v>402</v>
      </c>
      <c r="C323" s="171">
        <v>43739</v>
      </c>
      <c r="D323" s="160" t="s">
        <v>48</v>
      </c>
      <c r="E323" s="130" t="s">
        <v>47</v>
      </c>
      <c r="F323" s="130" t="s">
        <v>47</v>
      </c>
      <c r="G323" s="130" t="s">
        <v>49</v>
      </c>
      <c r="H323" s="130" t="s">
        <v>471</v>
      </c>
      <c r="I323" s="130" t="s">
        <v>472</v>
      </c>
      <c r="J323" s="130" t="s">
        <v>69</v>
      </c>
      <c r="K323" s="130" t="s">
        <v>428</v>
      </c>
    </row>
    <row r="324" spans="1:11" ht="26.45" hidden="1">
      <c r="A324" s="169" t="s">
        <v>34</v>
      </c>
      <c r="B324" s="149" t="s">
        <v>402</v>
      </c>
      <c r="C324" s="171">
        <v>43739</v>
      </c>
      <c r="D324" s="160" t="s">
        <v>48</v>
      </c>
      <c r="E324" s="130" t="s">
        <v>47</v>
      </c>
      <c r="F324" s="130" t="s">
        <v>47</v>
      </c>
      <c r="G324" s="130" t="s">
        <v>49</v>
      </c>
      <c r="H324" s="130" t="s">
        <v>452</v>
      </c>
      <c r="I324" s="130" t="s">
        <v>431</v>
      </c>
      <c r="J324" s="130" t="s">
        <v>69</v>
      </c>
      <c r="K324" s="130" t="s">
        <v>428</v>
      </c>
    </row>
    <row r="325" spans="1:11" ht="26.45" hidden="1">
      <c r="A325" s="169" t="s">
        <v>34</v>
      </c>
      <c r="B325" s="149" t="s">
        <v>402</v>
      </c>
      <c r="C325" s="171">
        <v>43739</v>
      </c>
      <c r="D325" s="160" t="s">
        <v>48</v>
      </c>
      <c r="E325" s="130" t="s">
        <v>47</v>
      </c>
      <c r="F325" s="130" t="s">
        <v>47</v>
      </c>
      <c r="G325" s="130" t="s">
        <v>49</v>
      </c>
      <c r="H325" s="130" t="s">
        <v>473</v>
      </c>
      <c r="I325" s="130" t="s">
        <v>474</v>
      </c>
      <c r="J325" s="130" t="s">
        <v>69</v>
      </c>
      <c r="K325" s="130" t="s">
        <v>428</v>
      </c>
    </row>
    <row r="326" spans="1:11" ht="26.45" hidden="1">
      <c r="A326" s="169" t="s">
        <v>34</v>
      </c>
      <c r="B326" s="149" t="s">
        <v>402</v>
      </c>
      <c r="C326" s="171">
        <v>43739</v>
      </c>
      <c r="D326" s="160" t="s">
        <v>48</v>
      </c>
      <c r="E326" s="130" t="s">
        <v>47</v>
      </c>
      <c r="F326" s="130" t="s">
        <v>47</v>
      </c>
      <c r="G326" s="130" t="s">
        <v>49</v>
      </c>
      <c r="H326" s="130" t="s">
        <v>92</v>
      </c>
      <c r="I326" s="130" t="s">
        <v>475</v>
      </c>
      <c r="J326" s="130" t="s">
        <v>69</v>
      </c>
      <c r="K326" s="130" t="s">
        <v>455</v>
      </c>
    </row>
    <row r="327" spans="1:11" ht="26.45" hidden="1">
      <c r="A327" s="169" t="s">
        <v>34</v>
      </c>
      <c r="B327" s="149" t="s">
        <v>402</v>
      </c>
      <c r="C327" s="150">
        <v>43740</v>
      </c>
      <c r="D327" s="130" t="s">
        <v>47</v>
      </c>
      <c r="E327" s="149" t="s">
        <v>48</v>
      </c>
      <c r="F327" s="130" t="s">
        <v>47</v>
      </c>
      <c r="G327" s="129" t="s">
        <v>85</v>
      </c>
      <c r="H327" s="129" t="s">
        <v>476</v>
      </c>
      <c r="I327" s="129" t="s">
        <v>477</v>
      </c>
      <c r="J327" s="129" t="s">
        <v>478</v>
      </c>
      <c r="K327" s="151" t="s">
        <v>479</v>
      </c>
    </row>
    <row r="328" spans="1:11" ht="26.45" hidden="1">
      <c r="A328" s="169" t="s">
        <v>34</v>
      </c>
      <c r="B328" s="149" t="s">
        <v>402</v>
      </c>
      <c r="C328" s="150">
        <v>43740</v>
      </c>
      <c r="D328" s="130" t="s">
        <v>47</v>
      </c>
      <c r="E328" s="149" t="s">
        <v>48</v>
      </c>
      <c r="F328" s="130" t="s">
        <v>47</v>
      </c>
      <c r="G328" s="129" t="s">
        <v>85</v>
      </c>
      <c r="H328" s="129" t="s">
        <v>480</v>
      </c>
      <c r="I328" s="129" t="s">
        <v>481</v>
      </c>
      <c r="J328" s="129" t="s">
        <v>482</v>
      </c>
      <c r="K328" s="151" t="s">
        <v>479</v>
      </c>
    </row>
    <row r="329" spans="1:11" ht="26.45" hidden="1">
      <c r="A329" s="169" t="s">
        <v>34</v>
      </c>
      <c r="B329" s="149" t="s">
        <v>402</v>
      </c>
      <c r="C329" s="150">
        <v>43740</v>
      </c>
      <c r="D329" s="130" t="s">
        <v>47</v>
      </c>
      <c r="E329" s="149" t="s">
        <v>48</v>
      </c>
      <c r="F329" s="130" t="s">
        <v>47</v>
      </c>
      <c r="G329" s="129" t="s">
        <v>85</v>
      </c>
      <c r="H329" s="129" t="s">
        <v>483</v>
      </c>
      <c r="I329" s="129" t="s">
        <v>484</v>
      </c>
      <c r="J329" s="129" t="s">
        <v>485</v>
      </c>
      <c r="K329" s="151" t="s">
        <v>479</v>
      </c>
    </row>
    <row r="330" spans="1:11" ht="26.45" hidden="1">
      <c r="A330" s="169" t="s">
        <v>34</v>
      </c>
      <c r="B330" s="149" t="s">
        <v>402</v>
      </c>
      <c r="C330" s="150">
        <v>43740</v>
      </c>
      <c r="D330" s="130" t="s">
        <v>47</v>
      </c>
      <c r="E330" s="149" t="s">
        <v>48</v>
      </c>
      <c r="F330" s="130" t="s">
        <v>47</v>
      </c>
      <c r="G330" s="129" t="s">
        <v>85</v>
      </c>
      <c r="H330" s="129" t="s">
        <v>371</v>
      </c>
      <c r="I330" s="129" t="s">
        <v>486</v>
      </c>
      <c r="J330" s="129" t="s">
        <v>372</v>
      </c>
      <c r="K330" s="151" t="s">
        <v>479</v>
      </c>
    </row>
    <row r="331" spans="1:11" ht="26.45" hidden="1">
      <c r="A331" s="169" t="s">
        <v>34</v>
      </c>
      <c r="B331" s="149" t="s">
        <v>402</v>
      </c>
      <c r="C331" s="150">
        <v>43740</v>
      </c>
      <c r="D331" s="130" t="s">
        <v>47</v>
      </c>
      <c r="E331" s="149" t="s">
        <v>48</v>
      </c>
      <c r="F331" s="130" t="s">
        <v>47</v>
      </c>
      <c r="G331" s="129" t="s">
        <v>85</v>
      </c>
      <c r="H331" s="129" t="s">
        <v>373</v>
      </c>
      <c r="I331" s="129" t="s">
        <v>487</v>
      </c>
      <c r="J331" s="129" t="s">
        <v>374</v>
      </c>
      <c r="K331" s="151" t="s">
        <v>479</v>
      </c>
    </row>
    <row r="332" spans="1:11" ht="26.45" hidden="1">
      <c r="A332" s="169" t="s">
        <v>34</v>
      </c>
      <c r="B332" s="149" t="s">
        <v>402</v>
      </c>
      <c r="C332" s="150">
        <v>43740</v>
      </c>
      <c r="D332" s="130" t="s">
        <v>47</v>
      </c>
      <c r="E332" s="149" t="s">
        <v>48</v>
      </c>
      <c r="F332" s="130" t="s">
        <v>47</v>
      </c>
      <c r="G332" s="129" t="s">
        <v>85</v>
      </c>
      <c r="H332" s="129" t="s">
        <v>375</v>
      </c>
      <c r="I332" s="129" t="s">
        <v>488</v>
      </c>
      <c r="J332" s="129" t="s">
        <v>376</v>
      </c>
      <c r="K332" s="151" t="s">
        <v>479</v>
      </c>
    </row>
    <row r="333" spans="1:11" ht="26.45" hidden="1">
      <c r="A333" s="169" t="s">
        <v>34</v>
      </c>
      <c r="B333" s="149" t="s">
        <v>402</v>
      </c>
      <c r="C333" s="150">
        <v>43740</v>
      </c>
      <c r="D333" s="130" t="s">
        <v>47</v>
      </c>
      <c r="E333" s="149" t="s">
        <v>48</v>
      </c>
      <c r="F333" s="130" t="s">
        <v>47</v>
      </c>
      <c r="G333" s="129" t="s">
        <v>85</v>
      </c>
      <c r="H333" s="129" t="s">
        <v>377</v>
      </c>
      <c r="I333" s="129" t="s">
        <v>489</v>
      </c>
      <c r="J333" s="129" t="s">
        <v>378</v>
      </c>
      <c r="K333" s="151" t="s">
        <v>479</v>
      </c>
    </row>
    <row r="334" spans="1:11" ht="26.45" hidden="1">
      <c r="A334" s="169" t="s">
        <v>34</v>
      </c>
      <c r="B334" s="149" t="s">
        <v>402</v>
      </c>
      <c r="C334" s="150">
        <v>43740</v>
      </c>
      <c r="D334" s="130" t="s">
        <v>47</v>
      </c>
      <c r="E334" s="149" t="s">
        <v>48</v>
      </c>
      <c r="F334" s="130" t="s">
        <v>47</v>
      </c>
      <c r="G334" s="129" t="s">
        <v>85</v>
      </c>
      <c r="H334" s="129" t="s">
        <v>379</v>
      </c>
      <c r="I334" s="129" t="s">
        <v>490</v>
      </c>
      <c r="J334" s="129" t="s">
        <v>380</v>
      </c>
      <c r="K334" s="151" t="s">
        <v>479</v>
      </c>
    </row>
    <row r="335" spans="1:11" ht="26.45" hidden="1">
      <c r="A335" s="169" t="s">
        <v>34</v>
      </c>
      <c r="B335" s="149" t="s">
        <v>402</v>
      </c>
      <c r="C335" s="150">
        <v>43740</v>
      </c>
      <c r="D335" s="130" t="s">
        <v>47</v>
      </c>
      <c r="E335" s="149" t="s">
        <v>48</v>
      </c>
      <c r="F335" s="130" t="s">
        <v>47</v>
      </c>
      <c r="G335" s="129" t="s">
        <v>85</v>
      </c>
      <c r="H335" s="129" t="s">
        <v>381</v>
      </c>
      <c r="I335" s="129" t="s">
        <v>491</v>
      </c>
      <c r="J335" s="129" t="s">
        <v>382</v>
      </c>
      <c r="K335" s="151" t="s">
        <v>479</v>
      </c>
    </row>
    <row r="336" spans="1:11" ht="26.45" hidden="1">
      <c r="A336" s="169" t="s">
        <v>34</v>
      </c>
      <c r="B336" s="149" t="s">
        <v>402</v>
      </c>
      <c r="C336" s="150">
        <v>43740</v>
      </c>
      <c r="D336" s="130" t="s">
        <v>47</v>
      </c>
      <c r="E336" s="149" t="s">
        <v>48</v>
      </c>
      <c r="F336" s="130" t="s">
        <v>47</v>
      </c>
      <c r="G336" s="129" t="s">
        <v>85</v>
      </c>
      <c r="H336" s="129" t="s">
        <v>383</v>
      </c>
      <c r="I336" s="129" t="s">
        <v>492</v>
      </c>
      <c r="J336" s="129" t="s">
        <v>384</v>
      </c>
      <c r="K336" s="151" t="s">
        <v>479</v>
      </c>
    </row>
    <row r="337" spans="1:11" hidden="1">
      <c r="A337" s="169" t="s">
        <v>34</v>
      </c>
      <c r="B337" s="149" t="s">
        <v>493</v>
      </c>
      <c r="C337" s="150">
        <v>43901</v>
      </c>
      <c r="D337" s="130" t="s">
        <v>494</v>
      </c>
      <c r="E337" s="149" t="s">
        <v>495</v>
      </c>
      <c r="F337" s="130" t="s">
        <v>495</v>
      </c>
      <c r="G337" s="129" t="s">
        <v>496</v>
      </c>
      <c r="H337" s="129" t="s">
        <v>497</v>
      </c>
      <c r="I337" s="129" t="s">
        <v>498</v>
      </c>
      <c r="J337" s="129" t="s">
        <v>499</v>
      </c>
      <c r="K337" s="149" t="s">
        <v>500</v>
      </c>
    </row>
    <row r="338" spans="1:11" ht="25.5" hidden="1" customHeight="1">
      <c r="A338" s="169" t="s">
        <v>34</v>
      </c>
      <c r="B338" s="149" t="s">
        <v>501</v>
      </c>
      <c r="C338" s="150">
        <v>43980</v>
      </c>
      <c r="D338" s="130" t="s">
        <v>48</v>
      </c>
      <c r="E338" s="130" t="s">
        <v>47</v>
      </c>
      <c r="F338" s="130" t="s">
        <v>47</v>
      </c>
      <c r="G338" s="129" t="s">
        <v>66</v>
      </c>
      <c r="H338" s="129" t="s">
        <v>502</v>
      </c>
      <c r="I338" s="129"/>
      <c r="J338" s="129"/>
      <c r="K338" s="383" t="s">
        <v>503</v>
      </c>
    </row>
    <row r="339" spans="1:11" hidden="1">
      <c r="A339" s="169" t="s">
        <v>34</v>
      </c>
      <c r="B339" s="149" t="s">
        <v>501</v>
      </c>
      <c r="C339" s="150">
        <v>43980</v>
      </c>
      <c r="D339" s="130" t="s">
        <v>48</v>
      </c>
      <c r="E339" s="130" t="s">
        <v>47</v>
      </c>
      <c r="F339" s="130" t="s">
        <v>47</v>
      </c>
      <c r="G339" s="129" t="s">
        <v>66</v>
      </c>
      <c r="H339" s="129" t="s">
        <v>504</v>
      </c>
      <c r="I339" s="129" t="s">
        <v>505</v>
      </c>
      <c r="J339" s="129" t="s">
        <v>69</v>
      </c>
      <c r="K339" s="385"/>
    </row>
    <row r="340" spans="1:11" ht="25.5" hidden="1" customHeight="1">
      <c r="A340" s="169" t="s">
        <v>34</v>
      </c>
      <c r="B340" s="149" t="s">
        <v>501</v>
      </c>
      <c r="C340" s="150">
        <v>43980</v>
      </c>
      <c r="D340" s="130" t="s">
        <v>48</v>
      </c>
      <c r="E340" s="130" t="s">
        <v>47</v>
      </c>
      <c r="F340" s="130" t="s">
        <v>47</v>
      </c>
      <c r="G340" s="129" t="s">
        <v>66</v>
      </c>
      <c r="H340" s="129" t="s">
        <v>506</v>
      </c>
      <c r="I340" s="129" t="s">
        <v>507</v>
      </c>
      <c r="J340" s="129" t="s">
        <v>69</v>
      </c>
      <c r="K340" s="383" t="s">
        <v>508</v>
      </c>
    </row>
    <row r="341" spans="1:11" hidden="1">
      <c r="A341" s="169" t="s">
        <v>34</v>
      </c>
      <c r="B341" s="149" t="s">
        <v>501</v>
      </c>
      <c r="C341" s="150">
        <v>43980</v>
      </c>
      <c r="D341" s="130" t="s">
        <v>48</v>
      </c>
      <c r="E341" s="130" t="s">
        <v>47</v>
      </c>
      <c r="F341" s="130" t="s">
        <v>47</v>
      </c>
      <c r="G341" s="129" t="s">
        <v>66</v>
      </c>
      <c r="H341" s="129" t="s">
        <v>509</v>
      </c>
      <c r="I341" s="129" t="s">
        <v>510</v>
      </c>
      <c r="J341" s="129" t="s">
        <v>69</v>
      </c>
      <c r="K341" s="384"/>
    </row>
    <row r="342" spans="1:11" hidden="1">
      <c r="A342" s="169" t="s">
        <v>34</v>
      </c>
      <c r="B342" s="149" t="s">
        <v>501</v>
      </c>
      <c r="C342" s="150">
        <v>43980</v>
      </c>
      <c r="D342" s="130" t="s">
        <v>48</v>
      </c>
      <c r="E342" s="130" t="s">
        <v>47</v>
      </c>
      <c r="F342" s="130" t="s">
        <v>47</v>
      </c>
      <c r="G342" s="129" t="s">
        <v>66</v>
      </c>
      <c r="H342" s="129" t="s">
        <v>511</v>
      </c>
      <c r="I342" s="129" t="s">
        <v>512</v>
      </c>
      <c r="J342" s="129" t="s">
        <v>69</v>
      </c>
      <c r="K342" s="384"/>
    </row>
    <row r="343" spans="1:11" ht="13.5" hidden="1" customHeight="1">
      <c r="A343" s="169" t="s">
        <v>34</v>
      </c>
      <c r="B343" s="149" t="s">
        <v>501</v>
      </c>
      <c r="C343" s="150">
        <v>43980</v>
      </c>
      <c r="D343" s="130" t="s">
        <v>48</v>
      </c>
      <c r="E343" s="130" t="s">
        <v>47</v>
      </c>
      <c r="F343" s="130" t="s">
        <v>47</v>
      </c>
      <c r="G343" s="129" t="s">
        <v>66</v>
      </c>
      <c r="H343" s="129" t="s">
        <v>513</v>
      </c>
      <c r="I343" s="129" t="s">
        <v>514</v>
      </c>
      <c r="J343" s="129" t="s">
        <v>69</v>
      </c>
      <c r="K343" s="384"/>
    </row>
    <row r="344" spans="1:11" hidden="1">
      <c r="A344" s="169" t="s">
        <v>34</v>
      </c>
      <c r="B344" s="149" t="s">
        <v>501</v>
      </c>
      <c r="C344" s="150">
        <v>43980</v>
      </c>
      <c r="D344" s="130" t="s">
        <v>48</v>
      </c>
      <c r="E344" s="130" t="s">
        <v>47</v>
      </c>
      <c r="F344" s="130" t="s">
        <v>47</v>
      </c>
      <c r="G344" s="129" t="s">
        <v>66</v>
      </c>
      <c r="H344" s="129" t="s">
        <v>515</v>
      </c>
      <c r="I344" s="129" t="s">
        <v>516</v>
      </c>
      <c r="J344" s="129" t="s">
        <v>69</v>
      </c>
      <c r="K344" s="384"/>
    </row>
    <row r="345" spans="1:11" hidden="1">
      <c r="A345" s="169" t="s">
        <v>34</v>
      </c>
      <c r="B345" s="149" t="s">
        <v>501</v>
      </c>
      <c r="C345" s="150">
        <v>43980</v>
      </c>
      <c r="D345" s="130" t="s">
        <v>48</v>
      </c>
      <c r="E345" s="130" t="s">
        <v>47</v>
      </c>
      <c r="F345" s="130" t="s">
        <v>47</v>
      </c>
      <c r="G345" s="129" t="s">
        <v>66</v>
      </c>
      <c r="H345" s="129" t="s">
        <v>517</v>
      </c>
      <c r="I345" s="129" t="s">
        <v>518</v>
      </c>
      <c r="J345" s="129" t="s">
        <v>69</v>
      </c>
      <c r="K345" s="384"/>
    </row>
    <row r="346" spans="1:11" hidden="1">
      <c r="A346" s="169" t="s">
        <v>34</v>
      </c>
      <c r="B346" s="149" t="s">
        <v>501</v>
      </c>
      <c r="C346" s="150">
        <v>43980</v>
      </c>
      <c r="D346" s="130" t="s">
        <v>48</v>
      </c>
      <c r="E346" s="130" t="s">
        <v>47</v>
      </c>
      <c r="F346" s="130" t="s">
        <v>47</v>
      </c>
      <c r="G346" s="129" t="s">
        <v>66</v>
      </c>
      <c r="H346" s="129" t="s">
        <v>519</v>
      </c>
      <c r="I346" s="129" t="s">
        <v>520</v>
      </c>
      <c r="J346" s="129" t="s">
        <v>69</v>
      </c>
      <c r="K346" s="385"/>
    </row>
    <row r="347" spans="1:11" ht="25.5" hidden="1" customHeight="1">
      <c r="A347" s="169" t="s">
        <v>34</v>
      </c>
      <c r="B347" s="149" t="s">
        <v>501</v>
      </c>
      <c r="C347" s="150">
        <v>43980</v>
      </c>
      <c r="D347" s="130" t="s">
        <v>48</v>
      </c>
      <c r="E347" s="130" t="s">
        <v>47</v>
      </c>
      <c r="F347" s="130" t="s">
        <v>47</v>
      </c>
      <c r="G347" s="129" t="s">
        <v>66</v>
      </c>
      <c r="H347" s="129" t="s">
        <v>464</v>
      </c>
      <c r="I347" s="129" t="s">
        <v>521</v>
      </c>
      <c r="J347" s="129" t="s">
        <v>69</v>
      </c>
      <c r="K347" s="383" t="s">
        <v>522</v>
      </c>
    </row>
    <row r="348" spans="1:11" hidden="1">
      <c r="A348" s="169" t="s">
        <v>34</v>
      </c>
      <c r="B348" s="149" t="s">
        <v>501</v>
      </c>
      <c r="C348" s="150">
        <v>43980</v>
      </c>
      <c r="D348" s="130" t="s">
        <v>48</v>
      </c>
      <c r="E348" s="130" t="s">
        <v>47</v>
      </c>
      <c r="F348" s="130" t="s">
        <v>47</v>
      </c>
      <c r="G348" s="129" t="s">
        <v>66</v>
      </c>
      <c r="H348" s="129" t="s">
        <v>467</v>
      </c>
      <c r="I348" s="129" t="s">
        <v>523</v>
      </c>
      <c r="J348" s="129" t="s">
        <v>69</v>
      </c>
      <c r="K348" s="384"/>
    </row>
    <row r="349" spans="1:11" hidden="1">
      <c r="A349" s="169" t="s">
        <v>34</v>
      </c>
      <c r="B349" s="149" t="s">
        <v>501</v>
      </c>
      <c r="C349" s="150">
        <v>43980</v>
      </c>
      <c r="D349" s="130" t="s">
        <v>48</v>
      </c>
      <c r="E349" s="130" t="s">
        <v>47</v>
      </c>
      <c r="F349" s="130" t="s">
        <v>47</v>
      </c>
      <c r="G349" s="129" t="s">
        <v>66</v>
      </c>
      <c r="H349" s="129" t="s">
        <v>470</v>
      </c>
      <c r="I349" s="129" t="s">
        <v>524</v>
      </c>
      <c r="J349" s="129" t="s">
        <v>69</v>
      </c>
      <c r="K349" s="384"/>
    </row>
    <row r="350" spans="1:11" hidden="1">
      <c r="A350" s="169" t="s">
        <v>34</v>
      </c>
      <c r="B350" s="149" t="s">
        <v>501</v>
      </c>
      <c r="C350" s="150">
        <v>43980</v>
      </c>
      <c r="D350" s="130" t="s">
        <v>48</v>
      </c>
      <c r="E350" s="130" t="s">
        <v>47</v>
      </c>
      <c r="F350" s="130" t="s">
        <v>47</v>
      </c>
      <c r="G350" s="129" t="s">
        <v>66</v>
      </c>
      <c r="H350" s="129" t="s">
        <v>471</v>
      </c>
      <c r="I350" s="129" t="s">
        <v>525</v>
      </c>
      <c r="J350" s="129" t="s">
        <v>69</v>
      </c>
      <c r="K350" s="384"/>
    </row>
    <row r="351" spans="1:11" hidden="1">
      <c r="A351" s="169" t="s">
        <v>34</v>
      </c>
      <c r="B351" s="149" t="s">
        <v>501</v>
      </c>
      <c r="C351" s="150">
        <v>43980</v>
      </c>
      <c r="D351" s="130" t="s">
        <v>48</v>
      </c>
      <c r="E351" s="130" t="s">
        <v>47</v>
      </c>
      <c r="F351" s="130" t="s">
        <v>47</v>
      </c>
      <c r="G351" s="129" t="s">
        <v>66</v>
      </c>
      <c r="H351" s="129" t="s">
        <v>526</v>
      </c>
      <c r="I351" s="129" t="s">
        <v>521</v>
      </c>
      <c r="J351" s="129" t="s">
        <v>69</v>
      </c>
      <c r="K351" s="384"/>
    </row>
    <row r="352" spans="1:11" hidden="1">
      <c r="A352" s="169" t="s">
        <v>34</v>
      </c>
      <c r="B352" s="149" t="s">
        <v>501</v>
      </c>
      <c r="C352" s="150">
        <v>43980</v>
      </c>
      <c r="D352" s="130" t="s">
        <v>48</v>
      </c>
      <c r="E352" s="130" t="s">
        <v>47</v>
      </c>
      <c r="F352" s="130" t="s">
        <v>47</v>
      </c>
      <c r="G352" s="129" t="s">
        <v>66</v>
      </c>
      <c r="H352" s="129" t="s">
        <v>527</v>
      </c>
      <c r="I352" s="129"/>
      <c r="J352" s="129"/>
      <c r="K352" s="384"/>
    </row>
    <row r="353" spans="1:11" hidden="1">
      <c r="A353" s="169" t="s">
        <v>34</v>
      </c>
      <c r="B353" s="149" t="s">
        <v>501</v>
      </c>
      <c r="C353" s="150">
        <v>43980</v>
      </c>
      <c r="D353" s="130" t="s">
        <v>48</v>
      </c>
      <c r="E353" s="130" t="s">
        <v>47</v>
      </c>
      <c r="F353" s="130" t="s">
        <v>47</v>
      </c>
      <c r="G353" s="129" t="s">
        <v>66</v>
      </c>
      <c r="H353" s="129" t="s">
        <v>468</v>
      </c>
      <c r="I353" s="129" t="s">
        <v>528</v>
      </c>
      <c r="J353" s="129" t="s">
        <v>69</v>
      </c>
      <c r="K353" s="384"/>
    </row>
    <row r="354" spans="1:11" hidden="1">
      <c r="A354" s="169" t="s">
        <v>34</v>
      </c>
      <c r="B354" s="149" t="s">
        <v>501</v>
      </c>
      <c r="C354" s="150">
        <v>43980</v>
      </c>
      <c r="D354" s="130" t="s">
        <v>48</v>
      </c>
      <c r="E354" s="130" t="s">
        <v>47</v>
      </c>
      <c r="F354" s="130" t="s">
        <v>47</v>
      </c>
      <c r="G354" s="129" t="s">
        <v>66</v>
      </c>
      <c r="H354" s="129" t="s">
        <v>529</v>
      </c>
      <c r="I354" s="129" t="s">
        <v>530</v>
      </c>
      <c r="J354" s="129" t="s">
        <v>69</v>
      </c>
      <c r="K354" s="385"/>
    </row>
    <row r="355" spans="1:11" ht="26.45" hidden="1">
      <c r="A355" s="169" t="s">
        <v>34</v>
      </c>
      <c r="B355" s="149" t="s">
        <v>501</v>
      </c>
      <c r="C355" s="150">
        <v>43980</v>
      </c>
      <c r="D355" s="130" t="s">
        <v>48</v>
      </c>
      <c r="E355" s="149" t="s">
        <v>47</v>
      </c>
      <c r="F355" s="130" t="s">
        <v>47</v>
      </c>
      <c r="G355" s="129" t="s">
        <v>66</v>
      </c>
      <c r="H355" s="129" t="s">
        <v>142</v>
      </c>
      <c r="I355" s="129" t="s">
        <v>531</v>
      </c>
      <c r="J355" s="129" t="s">
        <v>69</v>
      </c>
      <c r="K355" s="130" t="s">
        <v>532</v>
      </c>
    </row>
    <row r="356" spans="1:11" ht="132" hidden="1">
      <c r="A356" s="169" t="s">
        <v>34</v>
      </c>
      <c r="B356" s="149" t="s">
        <v>501</v>
      </c>
      <c r="C356" s="150">
        <v>43980</v>
      </c>
      <c r="D356" s="130" t="s">
        <v>48</v>
      </c>
      <c r="E356" s="149" t="s">
        <v>47</v>
      </c>
      <c r="F356" s="130" t="s">
        <v>47</v>
      </c>
      <c r="G356" s="129" t="s">
        <v>66</v>
      </c>
      <c r="H356" s="129" t="s">
        <v>141</v>
      </c>
      <c r="I356" s="170" t="s">
        <v>533</v>
      </c>
      <c r="J356" s="170" t="s">
        <v>534</v>
      </c>
      <c r="K356" s="130" t="s">
        <v>535</v>
      </c>
    </row>
    <row r="357" spans="1:11" ht="25.5" hidden="1" customHeight="1">
      <c r="A357" s="169" t="s">
        <v>34</v>
      </c>
      <c r="B357" s="149" t="s">
        <v>501</v>
      </c>
      <c r="C357" s="150">
        <v>43980</v>
      </c>
      <c r="D357" s="130" t="s">
        <v>48</v>
      </c>
      <c r="E357" s="149" t="s">
        <v>47</v>
      </c>
      <c r="F357" s="130" t="s">
        <v>47</v>
      </c>
      <c r="G357" s="129" t="s">
        <v>49</v>
      </c>
      <c r="H357" s="129" t="s">
        <v>502</v>
      </c>
      <c r="I357" s="129"/>
      <c r="J357" s="129"/>
      <c r="K357" s="383" t="s">
        <v>503</v>
      </c>
    </row>
    <row r="358" spans="1:11" hidden="1">
      <c r="A358" s="169" t="s">
        <v>34</v>
      </c>
      <c r="B358" s="149" t="s">
        <v>501</v>
      </c>
      <c r="C358" s="150">
        <v>43980</v>
      </c>
      <c r="D358" s="130" t="s">
        <v>48</v>
      </c>
      <c r="E358" s="149" t="s">
        <v>47</v>
      </c>
      <c r="F358" s="130" t="s">
        <v>47</v>
      </c>
      <c r="G358" s="129" t="s">
        <v>49</v>
      </c>
      <c r="H358" s="129" t="s">
        <v>504</v>
      </c>
      <c r="I358" s="129" t="s">
        <v>505</v>
      </c>
      <c r="J358" s="129" t="s">
        <v>69</v>
      </c>
      <c r="K358" s="385"/>
    </row>
    <row r="359" spans="1:11" hidden="1">
      <c r="A359" s="169" t="s">
        <v>34</v>
      </c>
      <c r="B359" s="149" t="s">
        <v>501</v>
      </c>
      <c r="C359" s="150">
        <v>43980</v>
      </c>
      <c r="D359" s="130" t="s">
        <v>48</v>
      </c>
      <c r="E359" s="149" t="s">
        <v>47</v>
      </c>
      <c r="F359" s="130" t="s">
        <v>47</v>
      </c>
      <c r="G359" s="129" t="s">
        <v>49</v>
      </c>
      <c r="H359" s="129" t="s">
        <v>509</v>
      </c>
      <c r="I359" s="129" t="s">
        <v>510</v>
      </c>
      <c r="J359" s="129" t="s">
        <v>69</v>
      </c>
      <c r="K359" s="384"/>
    </row>
    <row r="360" spans="1:11" hidden="1">
      <c r="A360" s="169" t="s">
        <v>34</v>
      </c>
      <c r="B360" s="149" t="s">
        <v>501</v>
      </c>
      <c r="C360" s="150">
        <v>43980</v>
      </c>
      <c r="D360" s="130" t="s">
        <v>48</v>
      </c>
      <c r="E360" s="149" t="s">
        <v>47</v>
      </c>
      <c r="F360" s="130" t="s">
        <v>47</v>
      </c>
      <c r="G360" s="129" t="s">
        <v>49</v>
      </c>
      <c r="H360" s="129" t="s">
        <v>511</v>
      </c>
      <c r="I360" s="129" t="s">
        <v>512</v>
      </c>
      <c r="J360" s="129" t="s">
        <v>69</v>
      </c>
      <c r="K360" s="384"/>
    </row>
    <row r="361" spans="1:11" hidden="1">
      <c r="A361" s="169" t="s">
        <v>34</v>
      </c>
      <c r="B361" s="149" t="s">
        <v>501</v>
      </c>
      <c r="C361" s="150">
        <v>43980</v>
      </c>
      <c r="D361" s="130" t="s">
        <v>48</v>
      </c>
      <c r="E361" s="149" t="s">
        <v>47</v>
      </c>
      <c r="F361" s="130" t="s">
        <v>47</v>
      </c>
      <c r="G361" s="129" t="s">
        <v>49</v>
      </c>
      <c r="H361" s="129" t="s">
        <v>513</v>
      </c>
      <c r="I361" s="129" t="s">
        <v>514</v>
      </c>
      <c r="J361" s="129" t="s">
        <v>69</v>
      </c>
      <c r="K361" s="384"/>
    </row>
    <row r="362" spans="1:11" hidden="1">
      <c r="A362" s="169" t="s">
        <v>34</v>
      </c>
      <c r="B362" s="149" t="s">
        <v>501</v>
      </c>
      <c r="C362" s="150">
        <v>43980</v>
      </c>
      <c r="D362" s="130" t="s">
        <v>48</v>
      </c>
      <c r="E362" s="149" t="s">
        <v>47</v>
      </c>
      <c r="F362" s="130" t="s">
        <v>47</v>
      </c>
      <c r="G362" s="129" t="s">
        <v>49</v>
      </c>
      <c r="H362" s="129" t="s">
        <v>515</v>
      </c>
      <c r="I362" s="129" t="s">
        <v>516</v>
      </c>
      <c r="J362" s="129" t="s">
        <v>69</v>
      </c>
      <c r="K362" s="384"/>
    </row>
    <row r="363" spans="1:11" hidden="1">
      <c r="A363" s="169" t="s">
        <v>34</v>
      </c>
      <c r="B363" s="149" t="s">
        <v>501</v>
      </c>
      <c r="C363" s="150">
        <v>43980</v>
      </c>
      <c r="D363" s="130" t="s">
        <v>48</v>
      </c>
      <c r="E363" s="149" t="s">
        <v>47</v>
      </c>
      <c r="F363" s="130" t="s">
        <v>47</v>
      </c>
      <c r="G363" s="129" t="s">
        <v>49</v>
      </c>
      <c r="H363" s="129" t="s">
        <v>517</v>
      </c>
      <c r="I363" s="129" t="s">
        <v>518</v>
      </c>
      <c r="J363" s="129" t="s">
        <v>69</v>
      </c>
      <c r="K363" s="384"/>
    </row>
    <row r="364" spans="1:11" hidden="1">
      <c r="A364" s="169" t="s">
        <v>34</v>
      </c>
      <c r="B364" s="149" t="s">
        <v>501</v>
      </c>
      <c r="C364" s="150">
        <v>43980</v>
      </c>
      <c r="D364" s="130" t="s">
        <v>48</v>
      </c>
      <c r="E364" s="149" t="s">
        <v>47</v>
      </c>
      <c r="F364" s="130" t="s">
        <v>47</v>
      </c>
      <c r="G364" s="129" t="s">
        <v>49</v>
      </c>
      <c r="H364" s="129" t="s">
        <v>519</v>
      </c>
      <c r="I364" s="129" t="s">
        <v>520</v>
      </c>
      <c r="J364" s="129" t="s">
        <v>69</v>
      </c>
      <c r="K364" s="385"/>
    </row>
    <row r="365" spans="1:11" ht="25.5" hidden="1" customHeight="1">
      <c r="A365" s="169" t="s">
        <v>34</v>
      </c>
      <c r="B365" s="149" t="s">
        <v>501</v>
      </c>
      <c r="C365" s="150">
        <v>43980</v>
      </c>
      <c r="D365" s="130" t="s">
        <v>48</v>
      </c>
      <c r="E365" s="149" t="s">
        <v>47</v>
      </c>
      <c r="F365" s="130" t="s">
        <v>47</v>
      </c>
      <c r="G365" s="129" t="s">
        <v>49</v>
      </c>
      <c r="H365" s="129" t="s">
        <v>536</v>
      </c>
      <c r="I365" s="129" t="s">
        <v>521</v>
      </c>
      <c r="J365" s="129" t="s">
        <v>69</v>
      </c>
      <c r="K365" s="383" t="s">
        <v>522</v>
      </c>
    </row>
    <row r="366" spans="1:11" hidden="1">
      <c r="A366" s="169" t="s">
        <v>34</v>
      </c>
      <c r="B366" s="149" t="s">
        <v>501</v>
      </c>
      <c r="C366" s="150">
        <v>43980</v>
      </c>
      <c r="D366" s="130" t="s">
        <v>48</v>
      </c>
      <c r="E366" s="149" t="s">
        <v>47</v>
      </c>
      <c r="F366" s="130" t="s">
        <v>47</v>
      </c>
      <c r="G366" s="129" t="s">
        <v>49</v>
      </c>
      <c r="H366" s="129" t="s">
        <v>537</v>
      </c>
      <c r="I366" s="129" t="s">
        <v>523</v>
      </c>
      <c r="J366" s="129" t="s">
        <v>69</v>
      </c>
      <c r="K366" s="384"/>
    </row>
    <row r="367" spans="1:11" hidden="1">
      <c r="A367" s="169" t="s">
        <v>34</v>
      </c>
      <c r="B367" s="149" t="s">
        <v>501</v>
      </c>
      <c r="C367" s="150">
        <v>43980</v>
      </c>
      <c r="D367" s="130" t="s">
        <v>48</v>
      </c>
      <c r="E367" s="149" t="s">
        <v>47</v>
      </c>
      <c r="F367" s="130" t="s">
        <v>47</v>
      </c>
      <c r="G367" s="129" t="s">
        <v>49</v>
      </c>
      <c r="H367" s="129" t="s">
        <v>538</v>
      </c>
      <c r="I367" s="129" t="s">
        <v>524</v>
      </c>
      <c r="J367" s="129" t="s">
        <v>69</v>
      </c>
      <c r="K367" s="384"/>
    </row>
    <row r="368" spans="1:11" hidden="1">
      <c r="A368" s="169" t="s">
        <v>34</v>
      </c>
      <c r="B368" s="149" t="s">
        <v>501</v>
      </c>
      <c r="C368" s="150">
        <v>43980</v>
      </c>
      <c r="D368" s="130" t="s">
        <v>48</v>
      </c>
      <c r="E368" s="149" t="s">
        <v>47</v>
      </c>
      <c r="F368" s="130" t="s">
        <v>47</v>
      </c>
      <c r="G368" s="129" t="s">
        <v>49</v>
      </c>
      <c r="H368" s="129" t="s">
        <v>539</v>
      </c>
      <c r="I368" s="129" t="s">
        <v>540</v>
      </c>
      <c r="J368" s="129" t="s">
        <v>69</v>
      </c>
      <c r="K368" s="384"/>
    </row>
    <row r="369" spans="1:11" hidden="1">
      <c r="A369" s="169" t="s">
        <v>34</v>
      </c>
      <c r="B369" s="149" t="s">
        <v>501</v>
      </c>
      <c r="C369" s="150">
        <v>43980</v>
      </c>
      <c r="D369" s="130" t="s">
        <v>48</v>
      </c>
      <c r="E369" s="149" t="s">
        <v>47</v>
      </c>
      <c r="F369" s="130" t="s">
        <v>47</v>
      </c>
      <c r="G369" s="129" t="s">
        <v>49</v>
      </c>
      <c r="H369" s="129" t="s">
        <v>541</v>
      </c>
      <c r="I369" s="129" t="s">
        <v>528</v>
      </c>
      <c r="J369" s="129" t="s">
        <v>69</v>
      </c>
      <c r="K369" s="384"/>
    </row>
    <row r="370" spans="1:11" hidden="1">
      <c r="A370" s="169" t="s">
        <v>34</v>
      </c>
      <c r="B370" s="149" t="s">
        <v>501</v>
      </c>
      <c r="C370" s="150">
        <v>43980</v>
      </c>
      <c r="D370" s="130" t="s">
        <v>48</v>
      </c>
      <c r="E370" s="149" t="s">
        <v>47</v>
      </c>
      <c r="F370" s="130" t="s">
        <v>47</v>
      </c>
      <c r="G370" s="129" t="s">
        <v>49</v>
      </c>
      <c r="H370" s="129" t="s">
        <v>542</v>
      </c>
      <c r="I370" s="129" t="s">
        <v>543</v>
      </c>
      <c r="J370" s="129" t="s">
        <v>69</v>
      </c>
      <c r="K370" s="384"/>
    </row>
    <row r="371" spans="1:11" hidden="1">
      <c r="A371" s="169" t="s">
        <v>34</v>
      </c>
      <c r="B371" s="149" t="s">
        <v>501</v>
      </c>
      <c r="C371" s="150">
        <v>43980</v>
      </c>
      <c r="D371" s="130" t="s">
        <v>48</v>
      </c>
      <c r="E371" s="149" t="s">
        <v>47</v>
      </c>
      <c r="F371" s="130" t="s">
        <v>47</v>
      </c>
      <c r="G371" s="129" t="s">
        <v>49</v>
      </c>
      <c r="H371" s="129" t="s">
        <v>544</v>
      </c>
      <c r="I371" s="129" t="s">
        <v>545</v>
      </c>
      <c r="J371" s="129" t="s">
        <v>69</v>
      </c>
      <c r="K371" s="385"/>
    </row>
    <row r="372" spans="1:11" ht="26.45" hidden="1">
      <c r="A372" s="169" t="s">
        <v>34</v>
      </c>
      <c r="B372" s="149" t="s">
        <v>501</v>
      </c>
      <c r="C372" s="150">
        <v>43980</v>
      </c>
      <c r="D372" s="130" t="s">
        <v>48</v>
      </c>
      <c r="E372" s="149" t="s">
        <v>47</v>
      </c>
      <c r="F372" s="130" t="s">
        <v>47</v>
      </c>
      <c r="G372" s="129" t="s">
        <v>49</v>
      </c>
      <c r="H372" s="129" t="s">
        <v>546</v>
      </c>
      <c r="I372" s="129" t="s">
        <v>547</v>
      </c>
      <c r="J372" s="129" t="s">
        <v>69</v>
      </c>
      <c r="K372" s="130" t="s">
        <v>532</v>
      </c>
    </row>
    <row r="373" spans="1:11" ht="132" hidden="1">
      <c r="A373" s="169" t="s">
        <v>34</v>
      </c>
      <c r="B373" s="149" t="s">
        <v>501</v>
      </c>
      <c r="C373" s="150">
        <v>43980</v>
      </c>
      <c r="D373" s="130" t="s">
        <v>48</v>
      </c>
      <c r="E373" s="149" t="s">
        <v>47</v>
      </c>
      <c r="F373" s="130" t="s">
        <v>47</v>
      </c>
      <c r="G373" s="129" t="s">
        <v>49</v>
      </c>
      <c r="H373" s="129" t="s">
        <v>548</v>
      </c>
      <c r="I373" s="170" t="s">
        <v>549</v>
      </c>
      <c r="J373" s="170" t="s">
        <v>550</v>
      </c>
      <c r="K373" s="130" t="s">
        <v>535</v>
      </c>
    </row>
    <row r="374" spans="1:11" ht="26.45" hidden="1">
      <c r="A374" s="169" t="s">
        <v>34</v>
      </c>
      <c r="B374" s="151" t="s">
        <v>551</v>
      </c>
      <c r="C374" s="160">
        <v>44126</v>
      </c>
      <c r="D374" s="151" t="s">
        <v>48</v>
      </c>
      <c r="E374" s="151" t="s">
        <v>494</v>
      </c>
      <c r="F374" s="151" t="s">
        <v>47</v>
      </c>
      <c r="G374" s="151" t="s">
        <v>66</v>
      </c>
      <c r="H374" s="151" t="s">
        <v>552</v>
      </c>
      <c r="I374" s="151"/>
      <c r="J374" s="151"/>
      <c r="K374" s="151" t="s">
        <v>553</v>
      </c>
    </row>
    <row r="375" spans="1:11" hidden="1">
      <c r="A375" s="169" t="s">
        <v>34</v>
      </c>
      <c r="B375" s="151" t="s">
        <v>551</v>
      </c>
      <c r="C375" s="160">
        <v>44126</v>
      </c>
      <c r="D375" s="151" t="s">
        <v>48</v>
      </c>
      <c r="E375" s="151" t="s">
        <v>494</v>
      </c>
      <c r="F375" s="151" t="s">
        <v>47</v>
      </c>
      <c r="G375" s="151" t="s">
        <v>66</v>
      </c>
      <c r="H375" s="151" t="s">
        <v>72</v>
      </c>
      <c r="I375" s="151" t="s">
        <v>554</v>
      </c>
      <c r="J375" s="151" t="s">
        <v>555</v>
      </c>
      <c r="K375" s="149" t="s">
        <v>556</v>
      </c>
    </row>
    <row r="376" spans="1:11" hidden="1">
      <c r="A376" s="169" t="s">
        <v>34</v>
      </c>
      <c r="B376" s="151" t="s">
        <v>551</v>
      </c>
      <c r="C376" s="160">
        <v>44126</v>
      </c>
      <c r="D376" s="151" t="s">
        <v>48</v>
      </c>
      <c r="E376" s="151" t="s">
        <v>494</v>
      </c>
      <c r="F376" s="151" t="s">
        <v>47</v>
      </c>
      <c r="G376" s="149" t="s">
        <v>66</v>
      </c>
      <c r="H376" s="149" t="s">
        <v>557</v>
      </c>
      <c r="I376" s="149" t="s">
        <v>558</v>
      </c>
      <c r="J376" s="149" t="s">
        <v>69</v>
      </c>
      <c r="K376" s="382" t="s">
        <v>559</v>
      </c>
    </row>
    <row r="377" spans="1:11" hidden="1">
      <c r="A377" s="169" t="s">
        <v>34</v>
      </c>
      <c r="B377" s="151" t="s">
        <v>551</v>
      </c>
      <c r="C377" s="160">
        <v>44126</v>
      </c>
      <c r="D377" s="151" t="s">
        <v>48</v>
      </c>
      <c r="E377" s="151" t="s">
        <v>494</v>
      </c>
      <c r="F377" s="151" t="s">
        <v>47</v>
      </c>
      <c r="G377" s="151" t="s">
        <v>66</v>
      </c>
      <c r="H377" s="151" t="s">
        <v>560</v>
      </c>
      <c r="I377" s="151" t="s">
        <v>561</v>
      </c>
      <c r="J377" s="151" t="s">
        <v>69</v>
      </c>
      <c r="K377" s="382"/>
    </row>
    <row r="378" spans="1:11" hidden="1">
      <c r="A378" s="169" t="s">
        <v>34</v>
      </c>
      <c r="B378" s="151" t="s">
        <v>551</v>
      </c>
      <c r="C378" s="160">
        <v>44126</v>
      </c>
      <c r="D378" s="151" t="s">
        <v>48</v>
      </c>
      <c r="E378" s="151" t="s">
        <v>494</v>
      </c>
      <c r="F378" s="151" t="s">
        <v>47</v>
      </c>
      <c r="G378" s="151" t="s">
        <v>66</v>
      </c>
      <c r="H378" s="151" t="s">
        <v>562</v>
      </c>
      <c r="I378" s="151" t="s">
        <v>563</v>
      </c>
      <c r="J378" s="151" t="s">
        <v>69</v>
      </c>
      <c r="K378" s="382"/>
    </row>
    <row r="379" spans="1:11" hidden="1">
      <c r="A379" s="169" t="s">
        <v>34</v>
      </c>
      <c r="B379" s="151" t="s">
        <v>551</v>
      </c>
      <c r="C379" s="160">
        <v>44126</v>
      </c>
      <c r="D379" s="151" t="s">
        <v>48</v>
      </c>
      <c r="E379" s="151" t="s">
        <v>494</v>
      </c>
      <c r="F379" s="151" t="s">
        <v>47</v>
      </c>
      <c r="G379" s="151" t="s">
        <v>66</v>
      </c>
      <c r="H379" s="151" t="s">
        <v>564</v>
      </c>
      <c r="I379" s="151" t="s">
        <v>558</v>
      </c>
      <c r="J379" s="151" t="s">
        <v>69</v>
      </c>
      <c r="K379" s="382"/>
    </row>
    <row r="380" spans="1:11" hidden="1">
      <c r="A380" s="169" t="s">
        <v>34</v>
      </c>
      <c r="B380" s="151" t="s">
        <v>551</v>
      </c>
      <c r="C380" s="160">
        <v>44126</v>
      </c>
      <c r="D380" s="151" t="s">
        <v>48</v>
      </c>
      <c r="E380" s="151" t="s">
        <v>494</v>
      </c>
      <c r="F380" s="151" t="s">
        <v>47</v>
      </c>
      <c r="G380" s="151" t="s">
        <v>66</v>
      </c>
      <c r="H380" s="151" t="s">
        <v>565</v>
      </c>
      <c r="I380" s="151" t="s">
        <v>561</v>
      </c>
      <c r="J380" s="151" t="s">
        <v>69</v>
      </c>
      <c r="K380" s="382"/>
    </row>
    <row r="381" spans="1:11" hidden="1">
      <c r="A381" s="169" t="s">
        <v>34</v>
      </c>
      <c r="B381" s="151" t="s">
        <v>551</v>
      </c>
      <c r="C381" s="160">
        <v>44126</v>
      </c>
      <c r="D381" s="151" t="s">
        <v>48</v>
      </c>
      <c r="E381" s="151" t="s">
        <v>494</v>
      </c>
      <c r="F381" s="151" t="s">
        <v>47</v>
      </c>
      <c r="G381" s="151" t="s">
        <v>66</v>
      </c>
      <c r="H381" s="151" t="s">
        <v>566</v>
      </c>
      <c r="I381" s="151" t="s">
        <v>563</v>
      </c>
      <c r="J381" s="151" t="s">
        <v>69</v>
      </c>
      <c r="K381" s="382"/>
    </row>
    <row r="382" spans="1:11" hidden="1">
      <c r="A382" s="169" t="s">
        <v>34</v>
      </c>
      <c r="B382" s="151" t="s">
        <v>551</v>
      </c>
      <c r="C382" s="160">
        <v>44126</v>
      </c>
      <c r="D382" s="151" t="s">
        <v>48</v>
      </c>
      <c r="E382" s="151" t="s">
        <v>494</v>
      </c>
      <c r="F382" s="151" t="s">
        <v>47</v>
      </c>
      <c r="G382" s="151" t="s">
        <v>66</v>
      </c>
      <c r="H382" s="151" t="s">
        <v>567</v>
      </c>
      <c r="I382" s="151" t="s">
        <v>558</v>
      </c>
      <c r="J382" s="151" t="s">
        <v>69</v>
      </c>
      <c r="K382" s="382"/>
    </row>
    <row r="383" spans="1:11" hidden="1">
      <c r="A383" s="169" t="s">
        <v>34</v>
      </c>
      <c r="B383" s="151" t="s">
        <v>551</v>
      </c>
      <c r="C383" s="160">
        <v>44126</v>
      </c>
      <c r="D383" s="151" t="s">
        <v>48</v>
      </c>
      <c r="E383" s="151" t="s">
        <v>494</v>
      </c>
      <c r="F383" s="151" t="s">
        <v>47</v>
      </c>
      <c r="G383" s="151" t="s">
        <v>66</v>
      </c>
      <c r="H383" s="151" t="s">
        <v>568</v>
      </c>
      <c r="I383" s="151" t="s">
        <v>561</v>
      </c>
      <c r="J383" s="151" t="s">
        <v>69</v>
      </c>
      <c r="K383" s="382"/>
    </row>
    <row r="384" spans="1:11" hidden="1">
      <c r="A384" s="169" t="s">
        <v>34</v>
      </c>
      <c r="B384" s="151" t="s">
        <v>551</v>
      </c>
      <c r="C384" s="160">
        <v>44126</v>
      </c>
      <c r="D384" s="151" t="s">
        <v>48</v>
      </c>
      <c r="E384" s="151" t="s">
        <v>494</v>
      </c>
      <c r="F384" s="151" t="s">
        <v>47</v>
      </c>
      <c r="G384" s="151" t="s">
        <v>66</v>
      </c>
      <c r="H384" s="151" t="s">
        <v>569</v>
      </c>
      <c r="I384" s="151" t="s">
        <v>563</v>
      </c>
      <c r="J384" s="151" t="s">
        <v>69</v>
      </c>
      <c r="K384" s="382"/>
    </row>
    <row r="385" spans="1:11" hidden="1">
      <c r="A385" s="169" t="s">
        <v>34</v>
      </c>
      <c r="B385" s="151" t="s">
        <v>551</v>
      </c>
      <c r="C385" s="160">
        <v>44126</v>
      </c>
      <c r="D385" s="151" t="s">
        <v>48</v>
      </c>
      <c r="E385" s="151" t="s">
        <v>494</v>
      </c>
      <c r="F385" s="151" t="s">
        <v>47</v>
      </c>
      <c r="G385" s="151" t="s">
        <v>66</v>
      </c>
      <c r="H385" s="151" t="s">
        <v>570</v>
      </c>
      <c r="I385" s="151" t="s">
        <v>571</v>
      </c>
      <c r="J385" s="151" t="s">
        <v>69</v>
      </c>
      <c r="K385" s="382"/>
    </row>
    <row r="386" spans="1:11" hidden="1">
      <c r="A386" s="169" t="s">
        <v>34</v>
      </c>
      <c r="B386" s="151" t="s">
        <v>551</v>
      </c>
      <c r="C386" s="160">
        <v>44126</v>
      </c>
      <c r="D386" s="151" t="s">
        <v>48</v>
      </c>
      <c r="E386" s="151" t="s">
        <v>494</v>
      </c>
      <c r="F386" s="151" t="s">
        <v>47</v>
      </c>
      <c r="G386" s="151" t="s">
        <v>66</v>
      </c>
      <c r="H386" s="151" t="s">
        <v>572</v>
      </c>
      <c r="I386" s="151" t="s">
        <v>573</v>
      </c>
      <c r="J386" s="151" t="s">
        <v>69</v>
      </c>
      <c r="K386" s="382"/>
    </row>
    <row r="387" spans="1:11" hidden="1">
      <c r="A387" s="169" t="s">
        <v>34</v>
      </c>
      <c r="B387" s="151" t="s">
        <v>551</v>
      </c>
      <c r="C387" s="160">
        <v>44126</v>
      </c>
      <c r="D387" s="151" t="s">
        <v>48</v>
      </c>
      <c r="E387" s="151" t="s">
        <v>494</v>
      </c>
      <c r="F387" s="151" t="s">
        <v>47</v>
      </c>
      <c r="G387" s="151" t="s">
        <v>66</v>
      </c>
      <c r="H387" s="151" t="s">
        <v>574</v>
      </c>
      <c r="I387" s="151" t="s">
        <v>575</v>
      </c>
      <c r="J387" s="151" t="s">
        <v>69</v>
      </c>
      <c r="K387" s="382"/>
    </row>
    <row r="388" spans="1:11" ht="26.45" hidden="1">
      <c r="A388" s="169" t="s">
        <v>34</v>
      </c>
      <c r="B388" s="151" t="s">
        <v>551</v>
      </c>
      <c r="C388" s="160">
        <v>44126</v>
      </c>
      <c r="D388" s="151" t="s">
        <v>48</v>
      </c>
      <c r="E388" s="151" t="s">
        <v>494</v>
      </c>
      <c r="F388" s="151" t="s">
        <v>47</v>
      </c>
      <c r="G388" s="151" t="s">
        <v>66</v>
      </c>
      <c r="H388" s="151" t="s">
        <v>231</v>
      </c>
      <c r="I388" s="161" t="s">
        <v>576</v>
      </c>
      <c r="J388" s="151" t="s">
        <v>577</v>
      </c>
      <c r="K388" s="382" t="s">
        <v>578</v>
      </c>
    </row>
    <row r="389" spans="1:11" ht="26.45" hidden="1">
      <c r="A389" s="169" t="s">
        <v>34</v>
      </c>
      <c r="B389" s="151" t="s">
        <v>551</v>
      </c>
      <c r="C389" s="160">
        <v>44126</v>
      </c>
      <c r="D389" s="151" t="s">
        <v>48</v>
      </c>
      <c r="E389" s="151" t="s">
        <v>494</v>
      </c>
      <c r="F389" s="151" t="s">
        <v>47</v>
      </c>
      <c r="G389" s="151" t="s">
        <v>66</v>
      </c>
      <c r="H389" s="151" t="s">
        <v>579</v>
      </c>
      <c r="I389" s="161" t="s">
        <v>580</v>
      </c>
      <c r="J389" s="151" t="s">
        <v>563</v>
      </c>
      <c r="K389" s="382"/>
    </row>
    <row r="390" spans="1:11" ht="14.25" hidden="1" customHeight="1">
      <c r="A390" s="169" t="s">
        <v>34</v>
      </c>
      <c r="B390" s="151" t="s">
        <v>551</v>
      </c>
      <c r="C390" s="160">
        <v>44126</v>
      </c>
      <c r="D390" s="151" t="s">
        <v>48</v>
      </c>
      <c r="E390" s="151" t="s">
        <v>494</v>
      </c>
      <c r="F390" s="151" t="s">
        <v>47</v>
      </c>
      <c r="G390" s="151" t="s">
        <v>49</v>
      </c>
      <c r="H390" s="151" t="s">
        <v>581</v>
      </c>
      <c r="I390" s="151" t="s">
        <v>558</v>
      </c>
      <c r="J390" s="151" t="s">
        <v>69</v>
      </c>
      <c r="K390" s="382" t="s">
        <v>582</v>
      </c>
    </row>
    <row r="391" spans="1:11" hidden="1">
      <c r="A391" s="169" t="s">
        <v>34</v>
      </c>
      <c r="B391" s="151" t="s">
        <v>551</v>
      </c>
      <c r="C391" s="160">
        <v>44126</v>
      </c>
      <c r="D391" s="151" t="s">
        <v>48</v>
      </c>
      <c r="E391" s="151" t="s">
        <v>494</v>
      </c>
      <c r="F391" s="151" t="s">
        <v>47</v>
      </c>
      <c r="G391" s="151" t="s">
        <v>49</v>
      </c>
      <c r="H391" s="151" t="s">
        <v>583</v>
      </c>
      <c r="I391" s="151" t="s">
        <v>561</v>
      </c>
      <c r="J391" s="151" t="s">
        <v>69</v>
      </c>
      <c r="K391" s="382"/>
    </row>
    <row r="392" spans="1:11" hidden="1">
      <c r="A392" s="169" t="s">
        <v>34</v>
      </c>
      <c r="B392" s="151" t="s">
        <v>551</v>
      </c>
      <c r="C392" s="160">
        <v>44126</v>
      </c>
      <c r="D392" s="151" t="s">
        <v>48</v>
      </c>
      <c r="E392" s="151" t="s">
        <v>494</v>
      </c>
      <c r="F392" s="151" t="s">
        <v>47</v>
      </c>
      <c r="G392" s="151" t="s">
        <v>49</v>
      </c>
      <c r="H392" s="151" t="s">
        <v>584</v>
      </c>
      <c r="I392" s="151" t="s">
        <v>563</v>
      </c>
      <c r="J392" s="151" t="s">
        <v>69</v>
      </c>
      <c r="K392" s="382"/>
    </row>
    <row r="393" spans="1:11" ht="26.45" hidden="1">
      <c r="A393" s="169" t="s">
        <v>34</v>
      </c>
      <c r="B393" s="151" t="s">
        <v>551</v>
      </c>
      <c r="C393" s="160">
        <v>44126</v>
      </c>
      <c r="D393" s="151" t="s">
        <v>48</v>
      </c>
      <c r="E393" s="151" t="s">
        <v>494</v>
      </c>
      <c r="F393" s="151" t="s">
        <v>47</v>
      </c>
      <c r="G393" s="151" t="s">
        <v>49</v>
      </c>
      <c r="H393" s="151" t="s">
        <v>585</v>
      </c>
      <c r="I393" s="151" t="s">
        <v>586</v>
      </c>
      <c r="J393" s="151" t="s">
        <v>69</v>
      </c>
      <c r="K393" s="382"/>
    </row>
    <row r="394" spans="1:11" hidden="1">
      <c r="A394" s="169" t="s">
        <v>34</v>
      </c>
      <c r="B394" s="151" t="s">
        <v>551</v>
      </c>
      <c r="C394" s="160">
        <v>44126</v>
      </c>
      <c r="D394" s="151" t="s">
        <v>48</v>
      </c>
      <c r="E394" s="151" t="s">
        <v>494</v>
      </c>
      <c r="F394" s="151" t="s">
        <v>47</v>
      </c>
      <c r="G394" s="151" t="s">
        <v>49</v>
      </c>
      <c r="H394" s="151" t="s">
        <v>587</v>
      </c>
      <c r="I394" s="151" t="s">
        <v>588</v>
      </c>
      <c r="J394" s="151" t="s">
        <v>69</v>
      </c>
      <c r="K394" s="382"/>
    </row>
    <row r="395" spans="1:11" ht="26.45" hidden="1">
      <c r="A395" s="169" t="s">
        <v>34</v>
      </c>
      <c r="B395" s="151" t="s">
        <v>551</v>
      </c>
      <c r="C395" s="160">
        <v>44126</v>
      </c>
      <c r="D395" s="151" t="s">
        <v>48</v>
      </c>
      <c r="E395" s="151" t="s">
        <v>494</v>
      </c>
      <c r="F395" s="151" t="s">
        <v>47</v>
      </c>
      <c r="G395" s="151" t="s">
        <v>49</v>
      </c>
      <c r="H395" s="151" t="s">
        <v>589</v>
      </c>
      <c r="I395" s="151" t="s">
        <v>590</v>
      </c>
      <c r="J395" s="151" t="s">
        <v>69</v>
      </c>
      <c r="K395" s="382"/>
    </row>
    <row r="396" spans="1:11" hidden="1">
      <c r="A396" s="169" t="s">
        <v>34</v>
      </c>
      <c r="B396" s="151" t="s">
        <v>551</v>
      </c>
      <c r="C396" s="160">
        <v>44126</v>
      </c>
      <c r="D396" s="151" t="s">
        <v>48</v>
      </c>
      <c r="E396" s="151" t="s">
        <v>494</v>
      </c>
      <c r="F396" s="151" t="s">
        <v>47</v>
      </c>
      <c r="G396" s="151" t="s">
        <v>49</v>
      </c>
      <c r="H396" s="151" t="s">
        <v>591</v>
      </c>
      <c r="I396" s="151" t="s">
        <v>558</v>
      </c>
      <c r="J396" s="151" t="s">
        <v>69</v>
      </c>
      <c r="K396" s="382"/>
    </row>
    <row r="397" spans="1:11" hidden="1">
      <c r="A397" s="169" t="s">
        <v>34</v>
      </c>
      <c r="B397" s="151" t="s">
        <v>551</v>
      </c>
      <c r="C397" s="160">
        <v>44126</v>
      </c>
      <c r="D397" s="151" t="s">
        <v>48</v>
      </c>
      <c r="E397" s="151" t="s">
        <v>494</v>
      </c>
      <c r="F397" s="151" t="s">
        <v>47</v>
      </c>
      <c r="G397" s="151" t="s">
        <v>49</v>
      </c>
      <c r="H397" s="151" t="s">
        <v>592</v>
      </c>
      <c r="I397" s="151" t="s">
        <v>561</v>
      </c>
      <c r="J397" s="151" t="s">
        <v>69</v>
      </c>
      <c r="K397" s="382"/>
    </row>
    <row r="398" spans="1:11" hidden="1">
      <c r="A398" s="169" t="s">
        <v>34</v>
      </c>
      <c r="B398" s="151" t="s">
        <v>551</v>
      </c>
      <c r="C398" s="160">
        <v>44126</v>
      </c>
      <c r="D398" s="151" t="s">
        <v>48</v>
      </c>
      <c r="E398" s="151" t="s">
        <v>494</v>
      </c>
      <c r="F398" s="151" t="s">
        <v>47</v>
      </c>
      <c r="G398" s="151" t="s">
        <v>49</v>
      </c>
      <c r="H398" s="151" t="s">
        <v>593</v>
      </c>
      <c r="I398" s="151" t="s">
        <v>563</v>
      </c>
      <c r="J398" s="151" t="s">
        <v>69</v>
      </c>
      <c r="K398" s="382"/>
    </row>
    <row r="399" spans="1:11" ht="26.45" hidden="1">
      <c r="A399" s="169" t="s">
        <v>34</v>
      </c>
      <c r="B399" s="151" t="s">
        <v>551</v>
      </c>
      <c r="C399" s="160">
        <v>44126</v>
      </c>
      <c r="D399" s="151" t="s">
        <v>48</v>
      </c>
      <c r="E399" s="151" t="s">
        <v>494</v>
      </c>
      <c r="F399" s="151" t="s">
        <v>47</v>
      </c>
      <c r="G399" s="151" t="s">
        <v>49</v>
      </c>
      <c r="H399" s="151" t="s">
        <v>594</v>
      </c>
      <c r="I399" s="151" t="s">
        <v>586</v>
      </c>
      <c r="J399" s="151" t="s">
        <v>69</v>
      </c>
      <c r="K399" s="382"/>
    </row>
    <row r="400" spans="1:11" hidden="1">
      <c r="A400" s="169" t="s">
        <v>34</v>
      </c>
      <c r="B400" s="151" t="s">
        <v>551</v>
      </c>
      <c r="C400" s="160">
        <v>44126</v>
      </c>
      <c r="D400" s="151" t="s">
        <v>48</v>
      </c>
      <c r="E400" s="151" t="s">
        <v>494</v>
      </c>
      <c r="F400" s="151" t="s">
        <v>47</v>
      </c>
      <c r="G400" s="151" t="s">
        <v>49</v>
      </c>
      <c r="H400" s="151" t="s">
        <v>595</v>
      </c>
      <c r="I400" s="151" t="s">
        <v>588</v>
      </c>
      <c r="J400" s="151" t="s">
        <v>69</v>
      </c>
      <c r="K400" s="382"/>
    </row>
    <row r="401" spans="1:11" ht="26.45" hidden="1">
      <c r="A401" s="169" t="s">
        <v>34</v>
      </c>
      <c r="B401" s="151" t="s">
        <v>551</v>
      </c>
      <c r="C401" s="160">
        <v>44126</v>
      </c>
      <c r="D401" s="151" t="s">
        <v>48</v>
      </c>
      <c r="E401" s="151" t="s">
        <v>494</v>
      </c>
      <c r="F401" s="151" t="s">
        <v>47</v>
      </c>
      <c r="G401" s="151" t="s">
        <v>49</v>
      </c>
      <c r="H401" s="151" t="s">
        <v>596</v>
      </c>
      <c r="I401" s="151" t="s">
        <v>590</v>
      </c>
      <c r="J401" s="151" t="s">
        <v>69</v>
      </c>
      <c r="K401" s="382"/>
    </row>
    <row r="402" spans="1:11" hidden="1">
      <c r="A402" s="169" t="s">
        <v>34</v>
      </c>
      <c r="B402" s="151" t="s">
        <v>551</v>
      </c>
      <c r="C402" s="160">
        <v>44126</v>
      </c>
      <c r="D402" s="151" t="s">
        <v>48</v>
      </c>
      <c r="E402" s="151" t="s">
        <v>494</v>
      </c>
      <c r="F402" s="151" t="s">
        <v>47</v>
      </c>
      <c r="G402" s="151" t="s">
        <v>49</v>
      </c>
      <c r="H402" s="151" t="s">
        <v>597</v>
      </c>
      <c r="I402" s="151" t="s">
        <v>558</v>
      </c>
      <c r="J402" s="151" t="s">
        <v>69</v>
      </c>
      <c r="K402" s="382"/>
    </row>
    <row r="403" spans="1:11" hidden="1">
      <c r="A403" s="169" t="s">
        <v>34</v>
      </c>
      <c r="B403" s="151" t="s">
        <v>551</v>
      </c>
      <c r="C403" s="160">
        <v>44126</v>
      </c>
      <c r="D403" s="151" t="s">
        <v>48</v>
      </c>
      <c r="E403" s="151" t="s">
        <v>494</v>
      </c>
      <c r="F403" s="151" t="s">
        <v>47</v>
      </c>
      <c r="G403" s="151" t="s">
        <v>49</v>
      </c>
      <c r="H403" s="151" t="s">
        <v>598</v>
      </c>
      <c r="I403" s="151" t="s">
        <v>561</v>
      </c>
      <c r="J403" s="151" t="s">
        <v>69</v>
      </c>
      <c r="K403" s="382"/>
    </row>
    <row r="404" spans="1:11" hidden="1">
      <c r="A404" s="169" t="s">
        <v>34</v>
      </c>
      <c r="B404" s="151" t="s">
        <v>551</v>
      </c>
      <c r="C404" s="160">
        <v>44126</v>
      </c>
      <c r="D404" s="151" t="s">
        <v>48</v>
      </c>
      <c r="E404" s="151" t="s">
        <v>494</v>
      </c>
      <c r="F404" s="151" t="s">
        <v>47</v>
      </c>
      <c r="G404" s="151" t="s">
        <v>49</v>
      </c>
      <c r="H404" s="151" t="s">
        <v>599</v>
      </c>
      <c r="I404" s="151" t="s">
        <v>563</v>
      </c>
      <c r="J404" s="151" t="s">
        <v>69</v>
      </c>
      <c r="K404" s="382"/>
    </row>
    <row r="405" spans="1:11" ht="26.45" hidden="1">
      <c r="A405" s="169" t="s">
        <v>34</v>
      </c>
      <c r="B405" s="151" t="s">
        <v>551</v>
      </c>
      <c r="C405" s="160">
        <v>44126</v>
      </c>
      <c r="D405" s="151" t="s">
        <v>48</v>
      </c>
      <c r="E405" s="151" t="s">
        <v>494</v>
      </c>
      <c r="F405" s="151" t="s">
        <v>47</v>
      </c>
      <c r="G405" s="151" t="s">
        <v>49</v>
      </c>
      <c r="H405" s="151" t="s">
        <v>600</v>
      </c>
      <c r="I405" s="151" t="s">
        <v>586</v>
      </c>
      <c r="J405" s="151" t="s">
        <v>69</v>
      </c>
      <c r="K405" s="382"/>
    </row>
    <row r="406" spans="1:11" hidden="1">
      <c r="A406" s="169" t="s">
        <v>34</v>
      </c>
      <c r="B406" s="151" t="s">
        <v>551</v>
      </c>
      <c r="C406" s="160">
        <v>44126</v>
      </c>
      <c r="D406" s="151" t="s">
        <v>48</v>
      </c>
      <c r="E406" s="151" t="s">
        <v>494</v>
      </c>
      <c r="F406" s="151" t="s">
        <v>47</v>
      </c>
      <c r="G406" s="151" t="s">
        <v>49</v>
      </c>
      <c r="H406" s="151" t="s">
        <v>601</v>
      </c>
      <c r="I406" s="151" t="s">
        <v>588</v>
      </c>
      <c r="J406" s="151" t="s">
        <v>69</v>
      </c>
      <c r="K406" s="382"/>
    </row>
    <row r="407" spans="1:11" ht="26.45" hidden="1">
      <c r="A407" s="169" t="s">
        <v>34</v>
      </c>
      <c r="B407" s="151" t="s">
        <v>551</v>
      </c>
      <c r="C407" s="160">
        <v>44126</v>
      </c>
      <c r="D407" s="151" t="s">
        <v>48</v>
      </c>
      <c r="E407" s="151" t="s">
        <v>494</v>
      </c>
      <c r="F407" s="151" t="s">
        <v>47</v>
      </c>
      <c r="G407" s="151" t="s">
        <v>49</v>
      </c>
      <c r="H407" s="151" t="s">
        <v>602</v>
      </c>
      <c r="I407" s="130" t="s">
        <v>603</v>
      </c>
      <c r="J407" s="151" t="s">
        <v>69</v>
      </c>
      <c r="K407" s="382"/>
    </row>
    <row r="408" spans="1:11" hidden="1">
      <c r="A408" s="169" t="s">
        <v>34</v>
      </c>
      <c r="B408" s="151" t="s">
        <v>551</v>
      </c>
      <c r="C408" s="160">
        <v>44126</v>
      </c>
      <c r="D408" s="151" t="s">
        <v>48</v>
      </c>
      <c r="E408" s="151" t="s">
        <v>494</v>
      </c>
      <c r="F408" s="151" t="s">
        <v>47</v>
      </c>
      <c r="G408" s="151" t="s">
        <v>49</v>
      </c>
      <c r="H408" s="151" t="s">
        <v>604</v>
      </c>
      <c r="I408" s="164" t="s">
        <v>571</v>
      </c>
      <c r="J408" s="151" t="s">
        <v>69</v>
      </c>
      <c r="K408" s="382"/>
    </row>
    <row r="409" spans="1:11" hidden="1">
      <c r="A409" s="169" t="s">
        <v>34</v>
      </c>
      <c r="B409" s="151" t="s">
        <v>551</v>
      </c>
      <c r="C409" s="160">
        <v>44126</v>
      </c>
      <c r="D409" s="151" t="s">
        <v>48</v>
      </c>
      <c r="E409" s="151" t="s">
        <v>494</v>
      </c>
      <c r="F409" s="151" t="s">
        <v>47</v>
      </c>
      <c r="G409" s="151" t="s">
        <v>49</v>
      </c>
      <c r="H409" s="151" t="s">
        <v>605</v>
      </c>
      <c r="I409" s="164" t="s">
        <v>606</v>
      </c>
      <c r="J409" s="151" t="s">
        <v>69</v>
      </c>
      <c r="K409" s="382"/>
    </row>
    <row r="410" spans="1:11" hidden="1">
      <c r="A410" s="169" t="s">
        <v>34</v>
      </c>
      <c r="B410" s="151" t="s">
        <v>551</v>
      </c>
      <c r="C410" s="160">
        <v>44126</v>
      </c>
      <c r="D410" s="151" t="s">
        <v>48</v>
      </c>
      <c r="E410" s="151" t="s">
        <v>494</v>
      </c>
      <c r="F410" s="151" t="s">
        <v>47</v>
      </c>
      <c r="G410" s="151" t="s">
        <v>49</v>
      </c>
      <c r="H410" s="151" t="s">
        <v>607</v>
      </c>
      <c r="I410" s="164" t="s">
        <v>575</v>
      </c>
      <c r="J410" s="151" t="s">
        <v>69</v>
      </c>
      <c r="K410" s="382"/>
    </row>
    <row r="411" spans="1:11" ht="26.45" hidden="1">
      <c r="A411" s="169" t="s">
        <v>34</v>
      </c>
      <c r="B411" s="151" t="s">
        <v>551</v>
      </c>
      <c r="C411" s="160">
        <v>44126</v>
      </c>
      <c r="D411" s="151" t="s">
        <v>48</v>
      </c>
      <c r="E411" s="151" t="s">
        <v>494</v>
      </c>
      <c r="F411" s="151" t="s">
        <v>47</v>
      </c>
      <c r="G411" s="151" t="s">
        <v>49</v>
      </c>
      <c r="H411" s="151" t="s">
        <v>608</v>
      </c>
      <c r="I411" s="164" t="s">
        <v>609</v>
      </c>
      <c r="J411" s="151" t="s">
        <v>69</v>
      </c>
      <c r="K411" s="382"/>
    </row>
    <row r="412" spans="1:11" hidden="1">
      <c r="A412" s="169" t="s">
        <v>34</v>
      </c>
      <c r="B412" s="151" t="s">
        <v>551</v>
      </c>
      <c r="C412" s="160">
        <v>44126</v>
      </c>
      <c r="D412" s="151" t="s">
        <v>48</v>
      </c>
      <c r="E412" s="151" t="s">
        <v>494</v>
      </c>
      <c r="F412" s="151" t="s">
        <v>47</v>
      </c>
      <c r="G412" s="151" t="s">
        <v>49</v>
      </c>
      <c r="H412" s="151" t="s">
        <v>610</v>
      </c>
      <c r="I412" s="164" t="s">
        <v>575</v>
      </c>
      <c r="J412" s="151" t="s">
        <v>69</v>
      </c>
      <c r="K412" s="382"/>
    </row>
    <row r="413" spans="1:11" ht="26.45" hidden="1">
      <c r="A413" s="169" t="s">
        <v>34</v>
      </c>
      <c r="B413" s="151" t="s">
        <v>551</v>
      </c>
      <c r="C413" s="160">
        <v>44126</v>
      </c>
      <c r="D413" s="151" t="s">
        <v>48</v>
      </c>
      <c r="E413" s="151" t="s">
        <v>494</v>
      </c>
      <c r="F413" s="151" t="s">
        <v>47</v>
      </c>
      <c r="G413" s="151" t="s">
        <v>49</v>
      </c>
      <c r="H413" s="151" t="s">
        <v>611</v>
      </c>
      <c r="I413" s="130" t="s">
        <v>603</v>
      </c>
      <c r="J413" s="151" t="s">
        <v>69</v>
      </c>
      <c r="K413" s="382"/>
    </row>
    <row r="414" spans="1:11" ht="26.45" hidden="1">
      <c r="A414" s="169" t="s">
        <v>34</v>
      </c>
      <c r="B414" s="151" t="s">
        <v>551</v>
      </c>
      <c r="C414" s="160">
        <v>44126</v>
      </c>
      <c r="D414" s="151" t="s">
        <v>48</v>
      </c>
      <c r="E414" s="151" t="s">
        <v>494</v>
      </c>
      <c r="F414" s="151" t="s">
        <v>47</v>
      </c>
      <c r="G414" s="151" t="s">
        <v>49</v>
      </c>
      <c r="H414" s="151" t="s">
        <v>612</v>
      </c>
      <c r="I414" s="151"/>
      <c r="J414" s="151"/>
      <c r="K414" s="151" t="s">
        <v>553</v>
      </c>
    </row>
    <row r="415" spans="1:11" hidden="1">
      <c r="A415" s="169" t="s">
        <v>34</v>
      </c>
      <c r="B415" s="151" t="s">
        <v>551</v>
      </c>
      <c r="C415" s="160">
        <v>44126</v>
      </c>
      <c r="D415" s="151" t="s">
        <v>48</v>
      </c>
      <c r="E415" s="151" t="s">
        <v>494</v>
      </c>
      <c r="F415" s="151" t="s">
        <v>47</v>
      </c>
      <c r="G415" s="151" t="s">
        <v>49</v>
      </c>
      <c r="H415" s="151" t="s">
        <v>72</v>
      </c>
      <c r="I415" s="151" t="s">
        <v>613</v>
      </c>
      <c r="J415" s="151" t="s">
        <v>614</v>
      </c>
      <c r="K415" s="149" t="s">
        <v>556</v>
      </c>
    </row>
    <row r="416" spans="1:11" ht="26.45" hidden="1">
      <c r="A416" s="169" t="s">
        <v>34</v>
      </c>
      <c r="B416" s="151" t="s">
        <v>551</v>
      </c>
      <c r="C416" s="160">
        <v>44126</v>
      </c>
      <c r="D416" s="151" t="s">
        <v>48</v>
      </c>
      <c r="E416" s="151" t="s">
        <v>494</v>
      </c>
      <c r="F416" s="151" t="s">
        <v>47</v>
      </c>
      <c r="G416" s="151" t="s">
        <v>49</v>
      </c>
      <c r="H416" s="151" t="s">
        <v>615</v>
      </c>
      <c r="I416" s="151" t="s">
        <v>616</v>
      </c>
      <c r="J416" s="151" t="s">
        <v>617</v>
      </c>
      <c r="K416" s="149" t="s">
        <v>618</v>
      </c>
    </row>
    <row r="417" spans="1:11" ht="26.45" hidden="1">
      <c r="A417" s="169" t="s">
        <v>34</v>
      </c>
      <c r="B417" s="151" t="s">
        <v>551</v>
      </c>
      <c r="C417" s="160">
        <v>44126</v>
      </c>
      <c r="D417" s="151" t="s">
        <v>48</v>
      </c>
      <c r="E417" s="151" t="s">
        <v>494</v>
      </c>
      <c r="F417" s="151" t="s">
        <v>47</v>
      </c>
      <c r="G417" s="151" t="s">
        <v>49</v>
      </c>
      <c r="H417" s="151" t="s">
        <v>619</v>
      </c>
      <c r="I417" s="151" t="s">
        <v>620</v>
      </c>
      <c r="J417" s="151" t="s">
        <v>586</v>
      </c>
      <c r="K417" s="382" t="s">
        <v>578</v>
      </c>
    </row>
    <row r="418" spans="1:11" ht="26.45" hidden="1">
      <c r="A418" s="169" t="s">
        <v>34</v>
      </c>
      <c r="B418" s="151" t="s">
        <v>551</v>
      </c>
      <c r="C418" s="160">
        <v>44126</v>
      </c>
      <c r="D418" s="151" t="s">
        <v>48</v>
      </c>
      <c r="E418" s="151" t="s">
        <v>494</v>
      </c>
      <c r="F418" s="151" t="s">
        <v>47</v>
      </c>
      <c r="G418" s="151" t="s">
        <v>49</v>
      </c>
      <c r="H418" s="151" t="s">
        <v>239</v>
      </c>
      <c r="I418" s="151" t="s">
        <v>621</v>
      </c>
      <c r="J418" s="151" t="s">
        <v>588</v>
      </c>
      <c r="K418" s="382"/>
    </row>
    <row r="419" spans="1:11" ht="26.45" hidden="1">
      <c r="A419" s="169" t="s">
        <v>34</v>
      </c>
      <c r="B419" s="151" t="s">
        <v>551</v>
      </c>
      <c r="C419" s="160">
        <v>44126</v>
      </c>
      <c r="D419" s="151" t="s">
        <v>48</v>
      </c>
      <c r="E419" s="151" t="s">
        <v>494</v>
      </c>
      <c r="F419" s="151" t="s">
        <v>47</v>
      </c>
      <c r="G419" s="151" t="s">
        <v>49</v>
      </c>
      <c r="H419" s="151" t="s">
        <v>622</v>
      </c>
      <c r="I419" s="151" t="s">
        <v>623</v>
      </c>
      <c r="J419" s="151" t="s">
        <v>590</v>
      </c>
      <c r="K419" s="382"/>
    </row>
    <row r="420" spans="1:11" ht="26.45" hidden="1">
      <c r="A420" s="169" t="s">
        <v>34</v>
      </c>
      <c r="B420" s="151" t="s">
        <v>551</v>
      </c>
      <c r="C420" s="160">
        <v>44126</v>
      </c>
      <c r="D420" s="151" t="s">
        <v>48</v>
      </c>
      <c r="E420" s="151" t="s">
        <v>494</v>
      </c>
      <c r="F420" s="151" t="s">
        <v>47</v>
      </c>
      <c r="G420" s="151" t="s">
        <v>49</v>
      </c>
      <c r="H420" s="151" t="s">
        <v>624</v>
      </c>
      <c r="I420" s="151" t="s">
        <v>625</v>
      </c>
      <c r="J420" s="151" t="s">
        <v>626</v>
      </c>
      <c r="K420" s="382"/>
    </row>
    <row r="421" spans="1:11" ht="26.45" hidden="1">
      <c r="A421" s="169" t="s">
        <v>34</v>
      </c>
      <c r="B421" s="151" t="s">
        <v>551</v>
      </c>
      <c r="C421" s="160">
        <v>44126</v>
      </c>
      <c r="D421" s="151" t="s">
        <v>48</v>
      </c>
      <c r="E421" s="151" t="s">
        <v>494</v>
      </c>
      <c r="F421" s="151" t="s">
        <v>47</v>
      </c>
      <c r="G421" s="151" t="s">
        <v>49</v>
      </c>
      <c r="H421" s="151" t="s">
        <v>627</v>
      </c>
      <c r="I421" s="151" t="s">
        <v>628</v>
      </c>
      <c r="J421" s="151" t="s">
        <v>577</v>
      </c>
      <c r="K421" s="382"/>
    </row>
    <row r="422" spans="1:11" ht="26.45" hidden="1">
      <c r="A422" s="169" t="s">
        <v>34</v>
      </c>
      <c r="B422" s="151" t="s">
        <v>551</v>
      </c>
      <c r="C422" s="160">
        <v>44126</v>
      </c>
      <c r="D422" s="151" t="s">
        <v>48</v>
      </c>
      <c r="E422" s="151" t="s">
        <v>494</v>
      </c>
      <c r="F422" s="151" t="s">
        <v>47</v>
      </c>
      <c r="G422" s="151" t="s">
        <v>49</v>
      </c>
      <c r="H422" s="151" t="s">
        <v>629</v>
      </c>
      <c r="I422" s="151" t="s">
        <v>630</v>
      </c>
      <c r="J422" s="151" t="s">
        <v>563</v>
      </c>
      <c r="K422" s="382"/>
    </row>
    <row r="423" spans="1:11" ht="26.45" hidden="1">
      <c r="A423" s="169" t="s">
        <v>34</v>
      </c>
      <c r="B423" s="151" t="s">
        <v>551</v>
      </c>
      <c r="C423" s="160">
        <v>44126</v>
      </c>
      <c r="D423" s="151" t="s">
        <v>48</v>
      </c>
      <c r="E423" s="151" t="s">
        <v>494</v>
      </c>
      <c r="F423" s="151" t="s">
        <v>47</v>
      </c>
      <c r="G423" s="151" t="s">
        <v>49</v>
      </c>
      <c r="H423" s="151" t="s">
        <v>288</v>
      </c>
      <c r="I423" s="151" t="s">
        <v>631</v>
      </c>
      <c r="J423" s="151" t="s">
        <v>632</v>
      </c>
      <c r="K423" s="382"/>
    </row>
    <row r="424" spans="1:11" ht="26.45" hidden="1">
      <c r="A424" s="169" t="s">
        <v>34</v>
      </c>
      <c r="B424" s="151" t="s">
        <v>551</v>
      </c>
      <c r="C424" s="160">
        <v>44126</v>
      </c>
      <c r="D424" s="151" t="s">
        <v>48</v>
      </c>
      <c r="E424" s="151" t="s">
        <v>494</v>
      </c>
      <c r="F424" s="151" t="s">
        <v>47</v>
      </c>
      <c r="G424" s="151" t="s">
        <v>49</v>
      </c>
      <c r="H424" s="151" t="s">
        <v>205</v>
      </c>
      <c r="I424" s="151" t="s">
        <v>625</v>
      </c>
      <c r="J424" s="151" t="s">
        <v>626</v>
      </c>
      <c r="K424" s="382"/>
    </row>
    <row r="425" spans="1:11" ht="26.45" hidden="1">
      <c r="A425" s="169" t="s">
        <v>34</v>
      </c>
      <c r="B425" s="151" t="s">
        <v>551</v>
      </c>
      <c r="C425" s="160">
        <v>44126</v>
      </c>
      <c r="D425" s="151" t="s">
        <v>48</v>
      </c>
      <c r="E425" s="151" t="s">
        <v>494</v>
      </c>
      <c r="F425" s="151" t="s">
        <v>47</v>
      </c>
      <c r="G425" s="151" t="s">
        <v>49</v>
      </c>
      <c r="H425" s="151" t="s">
        <v>218</v>
      </c>
      <c r="I425" s="151" t="s">
        <v>625</v>
      </c>
      <c r="J425" s="151" t="s">
        <v>626</v>
      </c>
      <c r="K425" s="382"/>
    </row>
    <row r="426" spans="1:11" ht="132" hidden="1">
      <c r="A426" s="169" t="s">
        <v>34</v>
      </c>
      <c r="B426" s="151" t="s">
        <v>551</v>
      </c>
      <c r="C426" s="160">
        <v>44127</v>
      </c>
      <c r="D426" s="151" t="s">
        <v>48</v>
      </c>
      <c r="E426" s="151" t="s">
        <v>494</v>
      </c>
      <c r="F426" s="151" t="s">
        <v>47</v>
      </c>
      <c r="G426" s="151" t="s">
        <v>66</v>
      </c>
      <c r="H426" s="151" t="s">
        <v>141</v>
      </c>
      <c r="I426" s="161" t="s">
        <v>633</v>
      </c>
      <c r="J426" s="161" t="s">
        <v>634</v>
      </c>
      <c r="K426" s="380" t="s">
        <v>635</v>
      </c>
    </row>
    <row r="427" spans="1:11" ht="132" hidden="1">
      <c r="A427" s="169" t="s">
        <v>34</v>
      </c>
      <c r="B427" s="151" t="s">
        <v>551</v>
      </c>
      <c r="C427" s="160">
        <v>44127</v>
      </c>
      <c r="D427" s="151" t="s">
        <v>48</v>
      </c>
      <c r="E427" s="151" t="s">
        <v>494</v>
      </c>
      <c r="F427" s="151" t="s">
        <v>47</v>
      </c>
      <c r="G427" s="151" t="s">
        <v>49</v>
      </c>
      <c r="H427" s="151" t="s">
        <v>548</v>
      </c>
      <c r="I427" s="161" t="s">
        <v>636</v>
      </c>
      <c r="J427" s="161" t="s">
        <v>637</v>
      </c>
      <c r="K427" s="386"/>
    </row>
    <row r="428" spans="1:11" hidden="1">
      <c r="A428" s="169" t="s">
        <v>34</v>
      </c>
      <c r="B428" s="151" t="s">
        <v>638</v>
      </c>
      <c r="C428" s="160">
        <v>44237</v>
      </c>
      <c r="D428" s="151" t="s">
        <v>494</v>
      </c>
      <c r="E428" s="151" t="s">
        <v>48</v>
      </c>
      <c r="F428" s="151" t="s">
        <v>639</v>
      </c>
      <c r="G428" s="151" t="s">
        <v>66</v>
      </c>
      <c r="H428" s="151" t="s">
        <v>640</v>
      </c>
      <c r="I428" s="151" t="s">
        <v>641</v>
      </c>
      <c r="J428" s="151" t="s">
        <v>642</v>
      </c>
      <c r="K428" s="380" t="s">
        <v>643</v>
      </c>
    </row>
    <row r="429" spans="1:11" hidden="1">
      <c r="A429" s="169" t="s">
        <v>34</v>
      </c>
      <c r="B429" s="151" t="s">
        <v>638</v>
      </c>
      <c r="C429" s="160">
        <v>44237</v>
      </c>
      <c r="D429" s="151" t="s">
        <v>494</v>
      </c>
      <c r="E429" s="151" t="s">
        <v>48</v>
      </c>
      <c r="F429" s="151" t="s">
        <v>639</v>
      </c>
      <c r="G429" s="151" t="s">
        <v>49</v>
      </c>
      <c r="H429" s="151" t="s">
        <v>640</v>
      </c>
      <c r="I429" s="151" t="s">
        <v>641</v>
      </c>
      <c r="J429" s="151" t="s">
        <v>642</v>
      </c>
      <c r="K429" s="381"/>
    </row>
    <row r="430" spans="1:11" hidden="1">
      <c r="A430" s="169" t="s">
        <v>34</v>
      </c>
      <c r="B430" s="151" t="s">
        <v>638</v>
      </c>
      <c r="C430" s="160">
        <v>44237</v>
      </c>
      <c r="D430" s="151" t="s">
        <v>494</v>
      </c>
      <c r="E430" s="151" t="s">
        <v>48</v>
      </c>
      <c r="F430" s="151" t="s">
        <v>639</v>
      </c>
      <c r="G430" s="151" t="s">
        <v>85</v>
      </c>
      <c r="H430" s="151" t="s">
        <v>640</v>
      </c>
      <c r="I430" s="151" t="s">
        <v>641</v>
      </c>
      <c r="J430" s="151" t="s">
        <v>642</v>
      </c>
      <c r="K430" s="386"/>
    </row>
    <row r="431" spans="1:11" hidden="1">
      <c r="A431" s="169" t="s">
        <v>34</v>
      </c>
      <c r="B431" s="151" t="s">
        <v>638</v>
      </c>
      <c r="C431" s="160">
        <v>44237</v>
      </c>
      <c r="D431" s="151" t="s">
        <v>494</v>
      </c>
      <c r="E431" s="151" t="s">
        <v>48</v>
      </c>
      <c r="F431" s="151" t="s">
        <v>639</v>
      </c>
      <c r="G431" s="151" t="s">
        <v>66</v>
      </c>
      <c r="H431" s="151" t="s">
        <v>644</v>
      </c>
      <c r="I431" s="151"/>
      <c r="J431" s="151"/>
      <c r="K431" s="380" t="s">
        <v>645</v>
      </c>
    </row>
    <row r="432" spans="1:11" hidden="1">
      <c r="A432" s="169" t="s">
        <v>34</v>
      </c>
      <c r="B432" s="151" t="s">
        <v>638</v>
      </c>
      <c r="C432" s="160">
        <v>44237</v>
      </c>
      <c r="D432" s="151" t="s">
        <v>494</v>
      </c>
      <c r="E432" s="151" t="s">
        <v>48</v>
      </c>
      <c r="F432" s="151" t="s">
        <v>639</v>
      </c>
      <c r="G432" s="151" t="s">
        <v>66</v>
      </c>
      <c r="H432" s="151" t="s">
        <v>190</v>
      </c>
      <c r="I432" s="151" t="s">
        <v>646</v>
      </c>
      <c r="J432" s="151" t="s">
        <v>69</v>
      </c>
      <c r="K432" s="381"/>
    </row>
    <row r="433" spans="1:11" hidden="1">
      <c r="A433" s="169" t="s">
        <v>34</v>
      </c>
      <c r="B433" s="151" t="s">
        <v>638</v>
      </c>
      <c r="C433" s="160">
        <v>44237</v>
      </c>
      <c r="D433" s="151" t="s">
        <v>494</v>
      </c>
      <c r="E433" s="151" t="s">
        <v>48</v>
      </c>
      <c r="F433" s="151" t="s">
        <v>639</v>
      </c>
      <c r="G433" s="151" t="s">
        <v>66</v>
      </c>
      <c r="H433" s="151" t="s">
        <v>647</v>
      </c>
      <c r="I433" s="151" t="s">
        <v>648</v>
      </c>
      <c r="J433" s="151" t="s">
        <v>649</v>
      </c>
      <c r="K433" s="386"/>
    </row>
    <row r="434" spans="1:11" ht="12.75" hidden="1" customHeight="1">
      <c r="A434" s="169" t="s">
        <v>34</v>
      </c>
      <c r="B434" s="151" t="s">
        <v>638</v>
      </c>
      <c r="C434" s="160">
        <v>44237</v>
      </c>
      <c r="D434" s="151" t="s">
        <v>494</v>
      </c>
      <c r="E434" s="151" t="s">
        <v>48</v>
      </c>
      <c r="F434" s="151" t="s">
        <v>639</v>
      </c>
      <c r="G434" s="151" t="s">
        <v>49</v>
      </c>
      <c r="H434" s="151" t="s">
        <v>650</v>
      </c>
      <c r="I434" s="151"/>
      <c r="J434" s="151"/>
      <c r="K434" s="380" t="s">
        <v>645</v>
      </c>
    </row>
    <row r="435" spans="1:11" hidden="1">
      <c r="A435" s="169" t="s">
        <v>34</v>
      </c>
      <c r="B435" s="151" t="s">
        <v>638</v>
      </c>
      <c r="C435" s="160">
        <v>44237</v>
      </c>
      <c r="D435" s="151" t="s">
        <v>494</v>
      </c>
      <c r="E435" s="151" t="s">
        <v>48</v>
      </c>
      <c r="F435" s="151" t="s">
        <v>639</v>
      </c>
      <c r="G435" s="151" t="s">
        <v>49</v>
      </c>
      <c r="H435" s="151" t="s">
        <v>651</v>
      </c>
      <c r="I435" s="151" t="s">
        <v>646</v>
      </c>
      <c r="J435" s="151" t="s">
        <v>69</v>
      </c>
      <c r="K435" s="381"/>
    </row>
    <row r="436" spans="1:11" hidden="1">
      <c r="A436" s="169"/>
      <c r="B436" s="151" t="s">
        <v>638</v>
      </c>
      <c r="C436" s="160">
        <v>44236</v>
      </c>
      <c r="D436" s="151" t="s">
        <v>494</v>
      </c>
      <c r="E436" s="151" t="s">
        <v>48</v>
      </c>
      <c r="F436" s="151" t="s">
        <v>639</v>
      </c>
      <c r="G436" s="151" t="s">
        <v>49</v>
      </c>
      <c r="H436" s="151" t="s">
        <v>652</v>
      </c>
      <c r="I436" s="151" t="s">
        <v>653</v>
      </c>
      <c r="J436" s="151" t="s">
        <v>654</v>
      </c>
      <c r="K436" s="381"/>
    </row>
    <row r="437" spans="1:11" ht="66" hidden="1">
      <c r="A437" s="169" t="s">
        <v>34</v>
      </c>
      <c r="B437" s="151" t="s">
        <v>655</v>
      </c>
      <c r="C437" s="160">
        <v>44945</v>
      </c>
      <c r="D437" s="151" t="s">
        <v>656</v>
      </c>
      <c r="E437" s="151" t="s">
        <v>48</v>
      </c>
      <c r="F437" s="151" t="s">
        <v>48</v>
      </c>
      <c r="G437" s="151" t="s">
        <v>49</v>
      </c>
      <c r="H437" s="151" t="s">
        <v>657</v>
      </c>
      <c r="I437" s="161" t="s">
        <v>658</v>
      </c>
      <c r="J437" s="161" t="s">
        <v>659</v>
      </c>
      <c r="K437" s="151" t="s">
        <v>660</v>
      </c>
    </row>
    <row r="438" spans="1:11" hidden="1">
      <c r="A438" s="169" t="s">
        <v>34</v>
      </c>
      <c r="B438" s="151" t="s">
        <v>655</v>
      </c>
      <c r="C438" s="160">
        <v>44945</v>
      </c>
      <c r="D438" s="151" t="s">
        <v>656</v>
      </c>
      <c r="E438" s="151" t="s">
        <v>48</v>
      </c>
      <c r="F438" s="151" t="s">
        <v>48</v>
      </c>
      <c r="G438" s="151" t="s">
        <v>66</v>
      </c>
      <c r="H438" s="151" t="s">
        <v>661</v>
      </c>
      <c r="I438" s="151" t="s">
        <v>291</v>
      </c>
      <c r="J438" s="151" t="s">
        <v>291</v>
      </c>
      <c r="K438" s="151" t="s">
        <v>291</v>
      </c>
    </row>
    <row r="439" spans="1:11" ht="105.6" hidden="1">
      <c r="A439" s="169" t="s">
        <v>34</v>
      </c>
      <c r="B439" s="151" t="s">
        <v>655</v>
      </c>
      <c r="C439" s="160">
        <v>44945</v>
      </c>
      <c r="D439" s="151" t="s">
        <v>656</v>
      </c>
      <c r="E439" s="151" t="s">
        <v>48</v>
      </c>
      <c r="F439" s="151" t="s">
        <v>48</v>
      </c>
      <c r="G439" s="151" t="s">
        <v>49</v>
      </c>
      <c r="H439" s="151" t="s">
        <v>662</v>
      </c>
      <c r="I439" s="161" t="s">
        <v>663</v>
      </c>
      <c r="J439" s="161" t="s">
        <v>664</v>
      </c>
      <c r="K439" s="151" t="s">
        <v>665</v>
      </c>
    </row>
    <row r="440" spans="1:11" hidden="1">
      <c r="A440" s="169" t="s">
        <v>34</v>
      </c>
      <c r="B440" s="151" t="s">
        <v>655</v>
      </c>
      <c r="C440" s="160">
        <v>44945</v>
      </c>
      <c r="D440" s="151" t="s">
        <v>656</v>
      </c>
      <c r="E440" s="151" t="s">
        <v>48</v>
      </c>
      <c r="F440" s="151" t="s">
        <v>48</v>
      </c>
      <c r="G440" s="151" t="s">
        <v>66</v>
      </c>
      <c r="H440" s="151" t="s">
        <v>666</v>
      </c>
      <c r="I440" s="151" t="s">
        <v>291</v>
      </c>
      <c r="J440" s="151" t="s">
        <v>291</v>
      </c>
      <c r="K440" s="151" t="s">
        <v>291</v>
      </c>
    </row>
    <row r="441" spans="1:11" ht="105.6" hidden="1">
      <c r="A441" s="169" t="s">
        <v>34</v>
      </c>
      <c r="B441" s="151" t="s">
        <v>655</v>
      </c>
      <c r="C441" s="160">
        <v>44945</v>
      </c>
      <c r="D441" s="151" t="s">
        <v>656</v>
      </c>
      <c r="E441" s="151" t="s">
        <v>48</v>
      </c>
      <c r="F441" s="151" t="s">
        <v>48</v>
      </c>
      <c r="G441" s="151" t="s">
        <v>49</v>
      </c>
      <c r="H441" s="151" t="s">
        <v>667</v>
      </c>
      <c r="I441" s="161" t="s">
        <v>668</v>
      </c>
      <c r="J441" s="161" t="s">
        <v>669</v>
      </c>
      <c r="K441" s="151" t="s">
        <v>670</v>
      </c>
    </row>
    <row r="442" spans="1:11">
      <c r="A442" s="169" t="s">
        <v>34</v>
      </c>
      <c r="B442" s="151" t="s">
        <v>655</v>
      </c>
      <c r="C442" s="160">
        <v>45361</v>
      </c>
      <c r="D442" s="151" t="s">
        <v>48</v>
      </c>
      <c r="E442" s="151" t="s">
        <v>656</v>
      </c>
      <c r="F442" s="151" t="s">
        <v>656</v>
      </c>
      <c r="G442" s="151" t="s">
        <v>49</v>
      </c>
      <c r="H442" s="151" t="s">
        <v>671</v>
      </c>
      <c r="I442" s="161" t="s">
        <v>672</v>
      </c>
      <c r="J442" s="161" t="s">
        <v>206</v>
      </c>
      <c r="K442" s="151" t="s">
        <v>673</v>
      </c>
    </row>
    <row r="443" spans="1:11" ht="79.150000000000006">
      <c r="A443" s="169" t="s">
        <v>34</v>
      </c>
      <c r="B443" s="151" t="s">
        <v>674</v>
      </c>
      <c r="C443" s="160">
        <v>45436</v>
      </c>
      <c r="D443" s="151" t="s">
        <v>656</v>
      </c>
      <c r="E443" s="151" t="s">
        <v>48</v>
      </c>
      <c r="F443" s="151" t="s">
        <v>48</v>
      </c>
      <c r="G443" s="151" t="s">
        <v>49</v>
      </c>
      <c r="H443" s="151" t="s">
        <v>675</v>
      </c>
      <c r="I443" s="161" t="s">
        <v>676</v>
      </c>
      <c r="J443" s="161" t="s">
        <v>677</v>
      </c>
      <c r="K443" s="151" t="s">
        <v>678</v>
      </c>
    </row>
    <row r="444" spans="1:11" ht="26.45">
      <c r="A444" s="169" t="s">
        <v>34</v>
      </c>
      <c r="B444" s="151" t="s">
        <v>674</v>
      </c>
      <c r="C444" s="160">
        <v>45436</v>
      </c>
      <c r="D444" s="151" t="s">
        <v>656</v>
      </c>
      <c r="E444" s="151" t="s">
        <v>48</v>
      </c>
      <c r="F444" s="151" t="s">
        <v>48</v>
      </c>
      <c r="G444" s="151" t="s">
        <v>49</v>
      </c>
      <c r="H444" s="151" t="s">
        <v>671</v>
      </c>
      <c r="I444" s="161" t="s">
        <v>679</v>
      </c>
      <c r="J444" s="161" t="s">
        <v>672</v>
      </c>
      <c r="K444" s="151" t="s">
        <v>680</v>
      </c>
    </row>
    <row r="445" spans="1:11" ht="52.9">
      <c r="A445" s="167" t="s">
        <v>34</v>
      </c>
      <c r="B445" s="151" t="s">
        <v>674</v>
      </c>
      <c r="C445" s="160">
        <v>45436</v>
      </c>
      <c r="D445" s="151" t="s">
        <v>656</v>
      </c>
      <c r="E445" s="151" t="s">
        <v>48</v>
      </c>
      <c r="F445" s="151" t="s">
        <v>48</v>
      </c>
      <c r="G445" s="151" t="s">
        <v>49</v>
      </c>
      <c r="H445" s="151" t="s">
        <v>681</v>
      </c>
      <c r="I445" s="161" t="s">
        <v>682</v>
      </c>
      <c r="J445" s="161" t="s">
        <v>683</v>
      </c>
      <c r="K445" s="151" t="s">
        <v>684</v>
      </c>
    </row>
    <row r="446" spans="1:11" ht="92.45">
      <c r="A446" s="167" t="s">
        <v>34</v>
      </c>
      <c r="B446" s="151" t="s">
        <v>674</v>
      </c>
      <c r="C446" s="160">
        <v>45436</v>
      </c>
      <c r="D446" s="151" t="s">
        <v>656</v>
      </c>
      <c r="E446" s="151" t="s">
        <v>48</v>
      </c>
      <c r="F446" s="151" t="s">
        <v>48</v>
      </c>
      <c r="G446" s="151" t="s">
        <v>685</v>
      </c>
      <c r="H446" s="151" t="s">
        <v>686</v>
      </c>
      <c r="I446" s="161" t="s">
        <v>687</v>
      </c>
      <c r="J446" s="161" t="s">
        <v>677</v>
      </c>
      <c r="K446" s="151" t="s">
        <v>688</v>
      </c>
    </row>
    <row r="447" spans="1:11" ht="92.45">
      <c r="A447" s="167" t="s">
        <v>34</v>
      </c>
      <c r="B447" s="151" t="s">
        <v>674</v>
      </c>
      <c r="C447" s="160">
        <v>45436</v>
      </c>
      <c r="D447" s="151" t="s">
        <v>656</v>
      </c>
      <c r="E447" s="151" t="s">
        <v>48</v>
      </c>
      <c r="F447" s="151" t="s">
        <v>48</v>
      </c>
      <c r="G447" s="151" t="s">
        <v>685</v>
      </c>
      <c r="H447" s="151" t="s">
        <v>689</v>
      </c>
      <c r="I447" s="161" t="s">
        <v>687</v>
      </c>
      <c r="J447" s="161" t="s">
        <v>690</v>
      </c>
      <c r="K447" s="151" t="s">
        <v>691</v>
      </c>
    </row>
    <row r="448" spans="1:11">
      <c r="A448" s="167" t="s">
        <v>34</v>
      </c>
      <c r="B448" s="151" t="s">
        <v>674</v>
      </c>
      <c r="C448" s="160">
        <v>45436</v>
      </c>
      <c r="D448" s="151" t="s">
        <v>656</v>
      </c>
      <c r="E448" s="151" t="s">
        <v>48</v>
      </c>
      <c r="F448" s="151" t="s">
        <v>48</v>
      </c>
      <c r="G448" s="151" t="s">
        <v>692</v>
      </c>
      <c r="H448" s="151"/>
      <c r="I448" s="161"/>
      <c r="J448" s="161"/>
      <c r="K448" s="151" t="s">
        <v>693</v>
      </c>
    </row>
    <row r="449" spans="1:11">
      <c r="A449" s="167" t="s">
        <v>34</v>
      </c>
      <c r="B449" s="151" t="s">
        <v>674</v>
      </c>
      <c r="C449" s="160">
        <v>45436</v>
      </c>
      <c r="D449" s="151" t="s">
        <v>656</v>
      </c>
      <c r="E449" s="151" t="s">
        <v>48</v>
      </c>
      <c r="F449" s="151" t="s">
        <v>48</v>
      </c>
      <c r="G449" s="151" t="s">
        <v>694</v>
      </c>
      <c r="H449" s="151"/>
      <c r="I449" s="161"/>
      <c r="J449" s="161"/>
      <c r="K449" s="151" t="s">
        <v>693</v>
      </c>
    </row>
  </sheetData>
  <sheetProtection selectLockedCells="1" selectUnlockedCells="1"/>
  <customSheetViews>
    <customSheetView guid="{8B2770CE-D161-47F0-859F-125AE657BDD5}" showGridLines="0" hiddenRows="1" topLeftCell="A10">
      <selection activeCell="G425" sqref="G425:J437"/>
      <pageMargins left="0" right="0" top="0" bottom="0" header="0" footer="0"/>
      <pageSetup paperSize="9" orientation="portrait" r:id="rId1"/>
    </customSheetView>
    <customSheetView guid="{693EBD7D-AE81-4642-BB20-D90B339CE02F}" showGridLines="0" hiddenRows="1" topLeftCell="A367">
      <selection activeCell="E383" sqref="E383"/>
      <pageMargins left="0" right="0" top="0" bottom="0" header="0" footer="0"/>
      <pageSetup paperSize="9" orientation="portrait" r:id="rId2"/>
    </customSheetView>
    <customSheetView guid="{E06C82F7-4BAD-4D00-99B9-78356C6407C1}" scale="70" showGridLines="0" topLeftCell="A13">
      <selection activeCell="E29" sqref="E29"/>
      <pageMargins left="0" right="0" top="0" bottom="0" header="0" footer="0"/>
      <pageSetup paperSize="9" orientation="portrait" r:id="rId3"/>
    </customSheetView>
    <customSheetView guid="{F1CAFB27-0D4C-4982-A367-458EC793250D}" scale="85" showGridLines="0" topLeftCell="A19">
      <pane ySplit="2" topLeftCell="A135" activePane="bottomLeft" state="frozen"/>
      <selection pane="bottomLeft" activeCell="F242" sqref="F242:J243"/>
      <pageMargins left="0" right="0" top="0" bottom="0" header="0" footer="0"/>
      <pageSetup paperSize="9" orientation="portrait" r:id="rId4"/>
    </customSheetView>
    <customSheetView guid="{0AA775FA-F8A9-4D24-AA12-2EE4A0C4B54A}" scale="70" showGridLines="0" hiddenRows="1" topLeftCell="A318">
      <selection activeCell="B325" sqref="B325:K334"/>
      <pageMargins left="0" right="0" top="0" bottom="0" header="0" footer="0"/>
      <pageSetup paperSize="9" orientation="portrait" r:id="rId5"/>
    </customSheetView>
  </customSheetViews>
  <mergeCells count="33">
    <mergeCell ref="D8:H8"/>
    <mergeCell ref="D9:H9"/>
    <mergeCell ref="K428:K430"/>
    <mergeCell ref="K431:K433"/>
    <mergeCell ref="K426:K427"/>
    <mergeCell ref="K417:K425"/>
    <mergeCell ref="K434:K436"/>
    <mergeCell ref="D10:H10"/>
    <mergeCell ref="K376:K387"/>
    <mergeCell ref="K388:K389"/>
    <mergeCell ref="K390:K413"/>
    <mergeCell ref="K365:K371"/>
    <mergeCell ref="K340:K346"/>
    <mergeCell ref="K338:K339"/>
    <mergeCell ref="K347:K354"/>
    <mergeCell ref="K357:K358"/>
    <mergeCell ref="K359:K364"/>
    <mergeCell ref="D7:H7"/>
    <mergeCell ref="B2:H2"/>
    <mergeCell ref="B18:B19"/>
    <mergeCell ref="B16:B17"/>
    <mergeCell ref="B23:I23"/>
    <mergeCell ref="D6:H6"/>
    <mergeCell ref="D15:H15"/>
    <mergeCell ref="D16:H16"/>
    <mergeCell ref="D17:H17"/>
    <mergeCell ref="D18:H18"/>
    <mergeCell ref="D19:H19"/>
    <mergeCell ref="D14:H14"/>
    <mergeCell ref="D13:H13"/>
    <mergeCell ref="D12:H12"/>
    <mergeCell ref="D11:H11"/>
    <mergeCell ref="B7:B15"/>
  </mergeCells>
  <phoneticPr fontId="105" type="noConversion"/>
  <pageMargins left="0.7" right="0.7" top="0.75" bottom="0.75" header="0.3" footer="0.3"/>
  <pageSetup paperSize="9"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3:D22"/>
  <sheetViews>
    <sheetView showGridLines="0" topLeftCell="A3" zoomScale="110" zoomScaleNormal="110" workbookViewId="0">
      <selection activeCell="E24" sqref="E24"/>
    </sheetView>
  </sheetViews>
  <sheetFormatPr defaultColWidth="9.28515625" defaultRowHeight="13.15"/>
  <cols>
    <col min="1" max="1" width="4.28515625" style="53" customWidth="1"/>
    <col min="2" max="2" width="32.28515625" style="53" customWidth="1"/>
    <col min="3" max="3" width="42.7109375" style="53" customWidth="1"/>
    <col min="4" max="4" width="67.7109375" style="53" customWidth="1"/>
    <col min="5" max="5" width="56.42578125" style="53" customWidth="1"/>
    <col min="6" max="16384" width="9.28515625" style="53"/>
  </cols>
  <sheetData>
    <row r="3" spans="2:4" ht="33.75" customHeight="1">
      <c r="B3" s="389" t="s">
        <v>695</v>
      </c>
      <c r="C3" s="389"/>
      <c r="D3" s="389"/>
    </row>
    <row r="4" spans="2:4" ht="26.25" customHeight="1"/>
    <row r="5" spans="2:4" ht="26.25" customHeight="1">
      <c r="B5" s="54" t="s">
        <v>696</v>
      </c>
      <c r="C5" s="392" t="s">
        <v>697</v>
      </c>
      <c r="D5" s="393"/>
    </row>
    <row r="6" spans="2:4" ht="26.25" customHeight="1">
      <c r="B6" s="55"/>
      <c r="C6" s="56"/>
      <c r="D6" s="56"/>
    </row>
    <row r="7" spans="2:4" ht="26.25" customHeight="1">
      <c r="B7" s="57" t="s">
        <v>698</v>
      </c>
      <c r="C7" s="394" t="s">
        <v>699</v>
      </c>
      <c r="D7" s="393"/>
    </row>
    <row r="8" spans="2:4" ht="26.25" customHeight="1">
      <c r="B8" s="55"/>
      <c r="C8" s="56"/>
      <c r="D8" s="56"/>
    </row>
    <row r="9" spans="2:4" ht="26.25" customHeight="1">
      <c r="B9" s="58" t="s">
        <v>700</v>
      </c>
      <c r="C9" s="394" t="s">
        <v>701</v>
      </c>
      <c r="D9" s="393"/>
    </row>
    <row r="10" spans="2:4" ht="26.25" customHeight="1">
      <c r="B10" s="59"/>
      <c r="C10" s="56"/>
      <c r="D10" s="56"/>
    </row>
    <row r="11" spans="2:4" ht="26.25" customHeight="1">
      <c r="B11" s="60" t="s">
        <v>702</v>
      </c>
      <c r="C11" s="394" t="s">
        <v>703</v>
      </c>
      <c r="D11" s="393"/>
    </row>
    <row r="12" spans="2:4" ht="22.5" customHeight="1"/>
    <row r="13" spans="2:4" ht="33.75" customHeight="1">
      <c r="B13" s="389" t="s">
        <v>704</v>
      </c>
      <c r="C13" s="389"/>
      <c r="D13" s="389"/>
    </row>
    <row r="14" spans="2:4" ht="22.5" customHeight="1"/>
    <row r="15" spans="2:4" ht="359.45" customHeight="1">
      <c r="B15" s="387" t="s">
        <v>705</v>
      </c>
      <c r="C15" s="388"/>
      <c r="D15" s="388"/>
    </row>
    <row r="16" spans="2:4" ht="26.65" customHeight="1">
      <c r="B16" s="354" t="s">
        <v>706</v>
      </c>
      <c r="C16" s="395" t="s">
        <v>707</v>
      </c>
      <c r="D16" s="396"/>
    </row>
    <row r="18" spans="2:4" ht="26.65" customHeight="1">
      <c r="B18" s="296" t="s">
        <v>708</v>
      </c>
      <c r="C18" s="394" t="s">
        <v>709</v>
      </c>
      <c r="D18" s="393"/>
    </row>
    <row r="19" spans="2:4" ht="12" customHeight="1"/>
    <row r="20" spans="2:4" ht="33.75" customHeight="1">
      <c r="B20" s="389" t="s">
        <v>710</v>
      </c>
      <c r="C20" s="389"/>
      <c r="D20" s="389"/>
    </row>
    <row r="21" spans="2:4" ht="22.5" customHeight="1"/>
    <row r="22" spans="2:4" ht="98.65" customHeight="1">
      <c r="B22" s="390" t="s">
        <v>711</v>
      </c>
      <c r="C22" s="391"/>
      <c r="D22" s="391"/>
    </row>
  </sheetData>
  <sheetProtection selectLockedCells="1"/>
  <customSheetViews>
    <customSheetView guid="{8B2770CE-D161-47F0-859F-125AE657BDD5}" showGridLines="0">
      <pageMargins left="0" right="0" top="0" bottom="0" header="0" footer="0"/>
      <pageSetup paperSize="9" orientation="portrait" r:id="rId1"/>
    </customSheetView>
    <customSheetView guid="{693EBD7D-AE81-4642-BB20-D90B339CE02F}" showGridLines="0" showRowCol="0" topLeftCell="A10">
      <selection activeCell="E15" sqref="E15"/>
      <pageMargins left="0" right="0" top="0" bottom="0" header="0" footer="0"/>
      <pageSetup paperSize="9" orientation="portrait" r:id="rId2"/>
    </customSheetView>
    <customSheetView guid="{E06C82F7-4BAD-4D00-99B9-78356C6407C1}" showGridLines="0" showRowCol="0" topLeftCell="A10">
      <selection activeCell="B19" sqref="B19:D19"/>
      <pageMargins left="0" right="0" top="0" bottom="0" header="0" footer="0"/>
      <pageSetup paperSize="9" orientation="portrait" r:id="rId3"/>
    </customSheetView>
    <customSheetView guid="{F1CAFB27-0D4C-4982-A367-458EC793250D}" showGridLines="0" showRowCol="0">
      <selection activeCell="E15" sqref="E15"/>
      <pageMargins left="0" right="0" top="0" bottom="0" header="0" footer="0"/>
      <pageSetup paperSize="9" orientation="portrait" r:id="rId4"/>
    </customSheetView>
    <customSheetView guid="{0AA775FA-F8A9-4D24-AA12-2EE4A0C4B54A}" showGridLines="0" showRowCol="0" topLeftCell="A4">
      <selection activeCell="E15" sqref="E15"/>
      <pageMargins left="0" right="0" top="0" bottom="0" header="0" footer="0"/>
      <pageSetup paperSize="9" orientation="portrait" r:id="rId5"/>
    </customSheetView>
  </customSheetViews>
  <mergeCells count="11">
    <mergeCell ref="B15:D15"/>
    <mergeCell ref="B20:D20"/>
    <mergeCell ref="B22:D22"/>
    <mergeCell ref="B3:D3"/>
    <mergeCell ref="C5:D5"/>
    <mergeCell ref="C7:D7"/>
    <mergeCell ref="C9:D9"/>
    <mergeCell ref="C11:D11"/>
    <mergeCell ref="B13:D13"/>
    <mergeCell ref="C16:D16"/>
    <mergeCell ref="C18:D18"/>
  </mergeCell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pageSetUpPr fitToPage="1"/>
  </sheetPr>
  <dimension ref="B1:W144"/>
  <sheetViews>
    <sheetView showGridLines="0" topLeftCell="M1" zoomScale="85" zoomScaleNormal="85" workbookViewId="0">
      <selection activeCell="N6" sqref="N6:N13"/>
    </sheetView>
  </sheetViews>
  <sheetFormatPr defaultColWidth="9.28515625" defaultRowHeight="12.75" customHeight="1"/>
  <cols>
    <col min="1" max="1" width="5.7109375" style="3" customWidth="1"/>
    <col min="2" max="2" width="45.7109375" style="3" customWidth="1"/>
    <col min="3" max="3" width="20.7109375" style="3" customWidth="1"/>
    <col min="4" max="4" width="45.7109375" style="3" customWidth="1"/>
    <col min="5" max="5" width="30.7109375" style="4" customWidth="1"/>
    <col min="6" max="8" width="14.7109375" style="47" customWidth="1"/>
    <col min="9" max="9" width="16.28515625" style="47" customWidth="1"/>
    <col min="10" max="10" width="5.7109375" style="4" customWidth="1"/>
    <col min="11" max="16" width="31.7109375" style="3" customWidth="1"/>
    <col min="17" max="17" width="16.7109375" style="3" customWidth="1"/>
    <col min="18" max="18" width="17.28515625" style="3" customWidth="1"/>
    <col min="19" max="19" width="26.5703125" style="3" customWidth="1"/>
    <col min="20" max="20" width="51.28515625" style="3" bestFit="1" customWidth="1"/>
    <col min="21" max="21" width="9.5703125" style="3" bestFit="1" customWidth="1"/>
    <col min="22" max="22" width="5.5703125" style="3" bestFit="1" customWidth="1"/>
    <col min="23" max="23" width="56.28515625" style="3" bestFit="1" customWidth="1"/>
    <col min="24" max="28" width="9.28515625" style="3" customWidth="1"/>
    <col min="29" max="16384" width="9.28515625" style="3"/>
  </cols>
  <sheetData>
    <row r="1" spans="2:14" ht="83.25" customHeight="1">
      <c r="J1" s="4" t="s">
        <v>34</v>
      </c>
      <c r="K1" s="3" t="s">
        <v>34</v>
      </c>
      <c r="L1" s="3" t="s">
        <v>34</v>
      </c>
      <c r="M1" s="3" t="s">
        <v>34</v>
      </c>
      <c r="N1" s="3" t="s">
        <v>34</v>
      </c>
    </row>
    <row r="3" spans="2:14" s="180" customFormat="1" ht="33.75" customHeight="1">
      <c r="B3" s="63" t="s">
        <v>712</v>
      </c>
      <c r="C3" s="63"/>
      <c r="D3" s="63"/>
      <c r="E3" s="63"/>
      <c r="F3" s="47"/>
      <c r="G3" s="47"/>
      <c r="H3" s="47"/>
      <c r="I3" s="47"/>
      <c r="J3" s="47"/>
      <c r="K3" s="47"/>
      <c r="L3" s="47"/>
      <c r="M3" s="47"/>
    </row>
    <row r="4" spans="2:14" ht="12.75" customHeight="1">
      <c r="J4" s="3"/>
    </row>
    <row r="5" spans="2:14" ht="30" customHeight="1">
      <c r="B5" s="181" t="s">
        <v>713</v>
      </c>
      <c r="C5" s="181"/>
      <c r="D5" s="181"/>
      <c r="E5" s="181"/>
      <c r="J5" s="3"/>
    </row>
    <row r="6" spans="2:14" ht="30" customHeight="1">
      <c r="J6" s="3"/>
      <c r="N6" s="128" t="s">
        <v>507</v>
      </c>
    </row>
    <row r="7" spans="2:14" ht="30" customHeight="1">
      <c r="B7" s="398" t="s">
        <v>714</v>
      </c>
      <c r="C7" s="399"/>
      <c r="D7" s="47"/>
      <c r="E7" s="47"/>
      <c r="J7" s="3"/>
      <c r="N7" s="128" t="s">
        <v>715</v>
      </c>
    </row>
    <row r="8" spans="2:14" ht="30" customHeight="1">
      <c r="B8" s="398" t="s">
        <v>641</v>
      </c>
      <c r="C8" s="399"/>
      <c r="D8" s="88"/>
      <c r="E8" s="47"/>
      <c r="J8" s="3"/>
      <c r="N8" s="128" t="s">
        <v>716</v>
      </c>
    </row>
    <row r="9" spans="2:14" ht="30" customHeight="1">
      <c r="B9" s="398" t="s">
        <v>717</v>
      </c>
      <c r="C9" s="399"/>
      <c r="D9" s="88"/>
      <c r="E9" s="47"/>
      <c r="J9" s="3"/>
      <c r="K9" s="406" t="s">
        <v>718</v>
      </c>
      <c r="L9" s="406"/>
      <c r="N9" s="128" t="s">
        <v>719</v>
      </c>
    </row>
    <row r="10" spans="2:14" ht="30" customHeight="1">
      <c r="B10" s="398" t="s">
        <v>720</v>
      </c>
      <c r="C10" s="399"/>
      <c r="D10" s="88"/>
      <c r="E10" s="65"/>
      <c r="J10" s="3"/>
      <c r="K10" s="405"/>
      <c r="L10" s="405"/>
      <c r="N10" s="128" t="s">
        <v>721</v>
      </c>
    </row>
    <row r="11" spans="2:14" ht="30" customHeight="1">
      <c r="B11" s="398" t="s">
        <v>554</v>
      </c>
      <c r="C11" s="399"/>
      <c r="D11" s="49"/>
      <c r="E11" s="50" t="s">
        <v>722</v>
      </c>
      <c r="H11"/>
      <c r="J11" s="3"/>
      <c r="K11" s="128" t="s">
        <v>427</v>
      </c>
      <c r="L11" s="142">
        <f>D12</f>
        <v>0</v>
      </c>
      <c r="N11" s="128" t="s">
        <v>516</v>
      </c>
    </row>
    <row r="12" spans="2:14" ht="30" customHeight="1">
      <c r="B12" s="398" t="s">
        <v>73</v>
      </c>
      <c r="C12" s="399"/>
      <c r="D12" s="124"/>
      <c r="E12" s="47"/>
      <c r="I12" s="52" t="s">
        <v>723</v>
      </c>
      <c r="J12" s="3"/>
      <c r="K12" s="128" t="s">
        <v>436</v>
      </c>
      <c r="L12" s="142">
        <f>D21</f>
        <v>0</v>
      </c>
      <c r="N12" s="128" t="s">
        <v>518</v>
      </c>
    </row>
    <row r="13" spans="2:14" ht="30" customHeight="1">
      <c r="B13" s="401" t="s">
        <v>724</v>
      </c>
      <c r="C13" s="402"/>
      <c r="D13" s="145">
        <f>DATE(YEAR(D12)+1,MONTH(D12),DAY(D12)-1)</f>
        <v>365</v>
      </c>
      <c r="E13" s="47"/>
      <c r="I13" s="52"/>
      <c r="J13" s="3"/>
      <c r="K13" s="128"/>
      <c r="L13" s="142"/>
      <c r="N13" s="128" t="s">
        <v>520</v>
      </c>
    </row>
    <row r="14" spans="2:14" ht="30" customHeight="1">
      <c r="B14" s="165" t="s">
        <v>505</v>
      </c>
      <c r="C14" s="166"/>
      <c r="D14" s="152"/>
      <c r="E14" s="47"/>
      <c r="I14" s="52"/>
      <c r="J14" s="3"/>
      <c r="K14" s="128" t="s">
        <v>438</v>
      </c>
      <c r="L14" s="142">
        <f>D22</f>
        <v>365</v>
      </c>
    </row>
    <row r="15" spans="2:14" ht="30" customHeight="1">
      <c r="B15" s="400" t="s">
        <v>725</v>
      </c>
      <c r="C15" s="400"/>
      <c r="D15" s="88"/>
      <c r="E15" s="47"/>
      <c r="I15" s="52" t="s">
        <v>726</v>
      </c>
      <c r="J15" s="3"/>
      <c r="K15" s="144" t="s">
        <v>727</v>
      </c>
      <c r="L15" s="128">
        <f>L11-L12</f>
        <v>0</v>
      </c>
    </row>
    <row r="16" spans="2:14" ht="30" customHeight="1">
      <c r="J16" s="3"/>
      <c r="K16" s="143" t="s">
        <v>447</v>
      </c>
      <c r="L16" s="128">
        <f>365-ABS(L15)</f>
        <v>365</v>
      </c>
      <c r="N16" s="128" t="s">
        <v>723</v>
      </c>
    </row>
    <row r="17" spans="2:14" ht="30" customHeight="1">
      <c r="B17" s="181" t="s">
        <v>728</v>
      </c>
      <c r="C17" s="181"/>
      <c r="D17" s="181"/>
      <c r="E17" s="181"/>
      <c r="J17" s="3"/>
      <c r="K17" s="143" t="s">
        <v>451</v>
      </c>
      <c r="L17" s="143">
        <f>IF(L16&gt;=90,1,0)</f>
        <v>1</v>
      </c>
      <c r="N17" s="128" t="s">
        <v>726</v>
      </c>
    </row>
    <row r="18" spans="2:14" ht="30" customHeight="1">
      <c r="J18" s="3"/>
    </row>
    <row r="19" spans="2:14" ht="30" customHeight="1">
      <c r="B19" s="36" t="s">
        <v>729</v>
      </c>
      <c r="C19" s="36" t="s">
        <v>107</v>
      </c>
      <c r="D19" s="47"/>
      <c r="E19" s="47"/>
      <c r="J19" s="3"/>
    </row>
    <row r="20" spans="2:14" ht="30" customHeight="1">
      <c r="B20" s="398" t="s">
        <v>413</v>
      </c>
      <c r="C20" s="399"/>
      <c r="D20" s="88"/>
      <c r="E20" s="3"/>
      <c r="J20" s="3"/>
      <c r="K20" s="405" t="s">
        <v>521</v>
      </c>
      <c r="L20" s="405"/>
    </row>
    <row r="21" spans="2:14" ht="30" customHeight="1">
      <c r="B21" s="403" t="s">
        <v>730</v>
      </c>
      <c r="C21" s="141" t="s">
        <v>731</v>
      </c>
      <c r="D21" s="124"/>
      <c r="E21" s="407" t="str">
        <f>IF(ISBLANK(D21),"",IF(L17=1,"","The rated period must be within 3 months of the Performance period"))</f>
        <v/>
      </c>
      <c r="J21" s="3"/>
      <c r="K21" s="128" t="s">
        <v>523</v>
      </c>
      <c r="L21" s="142">
        <f>D14</f>
        <v>0</v>
      </c>
    </row>
    <row r="22" spans="2:14" ht="30" customHeight="1">
      <c r="B22" s="404"/>
      <c r="C22" s="141" t="s">
        <v>732</v>
      </c>
      <c r="D22" s="145">
        <f>DATE(YEAR(D21)+1,MONTH(D21),DAY(D21)-1)</f>
        <v>365</v>
      </c>
      <c r="E22" s="407"/>
      <c r="J22" s="3"/>
      <c r="K22" s="143" t="s">
        <v>524</v>
      </c>
      <c r="L22" s="128" t="str">
        <f>D46</f>
        <v>NO</v>
      </c>
    </row>
    <row r="23" spans="2:14" ht="30" customHeight="1">
      <c r="B23" s="36" t="s">
        <v>733</v>
      </c>
      <c r="C23" s="36" t="s">
        <v>734</v>
      </c>
      <c r="D23" s="146"/>
      <c r="E23" s="47"/>
      <c r="J23" s="3"/>
      <c r="K23" s="143" t="s">
        <v>735</v>
      </c>
      <c r="L23" s="128" t="str">
        <f>IF(AND(L22="No",IF(ISNUMBER(MATCH(L21,N11:N13,0)),1,0)=1),"No","")</f>
        <v/>
      </c>
    </row>
    <row r="24" spans="2:14" ht="30" customHeight="1">
      <c r="B24" s="36" t="str">
        <f>_xlfn.IFNA(VLOOKUP($D$11,$K$43:$S$46,8, FALSE),"NABERS Rating type not defined")</f>
        <v>NABERS Rating type not defined</v>
      </c>
      <c r="C24" s="36" t="str">
        <f>_xlfn.IFNA(VLOOKUP($D$11,$K$43:$S$46,9, FALSE),"NABERS Rating type not defined")</f>
        <v>NABERS Rating type not defined</v>
      </c>
      <c r="D24" s="37"/>
      <c r="E24" s="47"/>
      <c r="J24" s="3"/>
    </row>
    <row r="25" spans="2:14" ht="30" customHeight="1">
      <c r="B25" s="5"/>
      <c r="E25" s="47"/>
      <c r="J25" s="3"/>
    </row>
    <row r="26" spans="2:14" ht="30" customHeight="1">
      <c r="B26" s="36" t="s">
        <v>736</v>
      </c>
      <c r="C26" s="36" t="s">
        <v>107</v>
      </c>
      <c r="D26" s="47"/>
      <c r="E26" s="47"/>
      <c r="J26" s="3"/>
    </row>
    <row r="27" spans="2:14" ht="30" customHeight="1">
      <c r="B27" s="36" t="s">
        <v>737</v>
      </c>
      <c r="C27" s="36" t="s">
        <v>130</v>
      </c>
      <c r="D27" s="37"/>
      <c r="E27" s="47"/>
      <c r="J27" s="3"/>
    </row>
    <row r="28" spans="2:14" ht="30" customHeight="1">
      <c r="B28" s="36" t="s">
        <v>738</v>
      </c>
      <c r="C28" s="36" t="s">
        <v>130</v>
      </c>
      <c r="D28" s="37"/>
      <c r="E28" s="47"/>
      <c r="J28" s="3"/>
    </row>
    <row r="29" spans="2:14" ht="30" customHeight="1">
      <c r="B29" s="36" t="s">
        <v>739</v>
      </c>
      <c r="C29" s="36" t="s">
        <v>130</v>
      </c>
      <c r="D29" s="37"/>
      <c r="E29" s="47"/>
      <c r="J29" s="3"/>
    </row>
    <row r="30" spans="2:14" ht="30" customHeight="1">
      <c r="B30" s="36" t="s">
        <v>740</v>
      </c>
      <c r="C30" s="36" t="s">
        <v>130</v>
      </c>
      <c r="D30" s="37"/>
      <c r="E30" s="47"/>
      <c r="J30" s="3"/>
    </row>
    <row r="31" spans="2:14" ht="30" customHeight="1">
      <c r="B31" s="36" t="s">
        <v>741</v>
      </c>
      <c r="C31" s="36" t="s">
        <v>130</v>
      </c>
      <c r="D31" s="261"/>
      <c r="E31" s="47"/>
      <c r="J31" s="3"/>
    </row>
    <row r="32" spans="2:14" ht="30" customHeight="1">
      <c r="B32" s="36" t="s">
        <v>742</v>
      </c>
      <c r="C32" s="36" t="s">
        <v>130</v>
      </c>
      <c r="D32" s="37"/>
      <c r="E32" s="52">
        <f>D32/1000</f>
        <v>0</v>
      </c>
      <c r="J32" s="3"/>
    </row>
    <row r="33" spans="2:19" ht="30" customHeight="1">
      <c r="B33" s="36" t="s">
        <v>743</v>
      </c>
      <c r="C33" s="36" t="s">
        <v>744</v>
      </c>
      <c r="D33" s="37"/>
      <c r="E33" s="52">
        <f>(D33/1000)*38.6</f>
        <v>0</v>
      </c>
      <c r="J33" s="3"/>
    </row>
    <row r="34" spans="2:19" ht="30" customHeight="1">
      <c r="B34" s="36" t="s">
        <v>745</v>
      </c>
      <c r="C34" s="36" t="s">
        <v>746</v>
      </c>
      <c r="D34" s="37"/>
      <c r="E34" s="52">
        <f>(D34/1000)*27</f>
        <v>0</v>
      </c>
      <c r="J34" s="3"/>
    </row>
    <row r="35" spans="2:19" ht="30" customHeight="1">
      <c r="E35" s="47"/>
      <c r="J35" s="3"/>
    </row>
    <row r="36" spans="2:19" ht="30" customHeight="1">
      <c r="B36" s="36" t="s">
        <v>747</v>
      </c>
      <c r="C36" s="36" t="s">
        <v>107</v>
      </c>
      <c r="D36" s="47"/>
      <c r="E36" s="47"/>
      <c r="J36" s="3"/>
      <c r="K36" s="415" t="s">
        <v>748</v>
      </c>
      <c r="L36" s="415"/>
      <c r="M36" s="415"/>
    </row>
    <row r="37" spans="2:19" ht="30" customHeight="1">
      <c r="B37" s="36" t="s">
        <v>749</v>
      </c>
      <c r="C37" s="36" t="s">
        <v>750</v>
      </c>
      <c r="D37" s="37"/>
      <c r="E37" s="47"/>
      <c r="J37" s="3"/>
      <c r="K37" s="162" t="s">
        <v>751</v>
      </c>
      <c r="L37" s="416" t="s">
        <v>752</v>
      </c>
      <c r="M37" s="417"/>
      <c r="N37" s="417"/>
      <c r="O37" s="417"/>
      <c r="P37" s="418"/>
    </row>
    <row r="38" spans="2:19" ht="30" customHeight="1">
      <c r="B38" s="36" t="s">
        <v>753</v>
      </c>
      <c r="C38" s="36" t="s">
        <v>754</v>
      </c>
      <c r="D38" s="48"/>
      <c r="E38" s="51" t="s">
        <v>755</v>
      </c>
      <c r="J38" s="3"/>
      <c r="K38" s="159" t="s">
        <v>756</v>
      </c>
      <c r="L38" s="159" t="s">
        <v>757</v>
      </c>
      <c r="M38" s="159" t="s">
        <v>758</v>
      </c>
      <c r="N38" s="159" t="s">
        <v>759</v>
      </c>
      <c r="O38" s="159" t="s">
        <v>760</v>
      </c>
      <c r="P38" s="159" t="s">
        <v>761</v>
      </c>
    </row>
    <row r="39" spans="2:19" ht="30" customHeight="1">
      <c r="B39" s="36" t="s">
        <v>762</v>
      </c>
      <c r="C39" s="36" t="s">
        <v>754</v>
      </c>
      <c r="D39" s="37"/>
      <c r="E39" s="47"/>
      <c r="J39" s="3"/>
      <c r="K39" s="159" t="s">
        <v>763</v>
      </c>
      <c r="L39" s="159" t="s">
        <v>757</v>
      </c>
      <c r="M39" s="159" t="s">
        <v>758</v>
      </c>
      <c r="N39" s="159" t="s">
        <v>759</v>
      </c>
      <c r="O39" s="159" t="s">
        <v>760</v>
      </c>
      <c r="P39" s="159" t="s">
        <v>761</v>
      </c>
    </row>
    <row r="40" spans="2:19" ht="30" customHeight="1">
      <c r="B40" s="36" t="str">
        <f>IF(ISERROR(VLOOKUP($D$11,$K$38:$P$41,2, FALSE)), "NABERS Rating type not defined", VLOOKUP($D$11,$K$38:$P$41,2, FALSE))</f>
        <v>NABERS Rating type not defined</v>
      </c>
      <c r="C40" s="36" t="str">
        <f>_xlfn.IFNA(VLOOKUP($D$11,$K$43:$P$46,2, FALSE),"NABERS Rating type not defined")</f>
        <v>NABERS Rating type not defined</v>
      </c>
      <c r="D40" s="37"/>
      <c r="E40" s="47"/>
      <c r="H40" s="193"/>
      <c r="J40" s="3"/>
      <c r="K40" s="159" t="s">
        <v>764</v>
      </c>
      <c r="L40" s="159" t="s">
        <v>757</v>
      </c>
      <c r="M40" s="159" t="s">
        <v>765</v>
      </c>
      <c r="N40" s="159" t="s">
        <v>766</v>
      </c>
      <c r="O40" s="159" t="s">
        <v>767</v>
      </c>
      <c r="P40" s="159" t="s">
        <v>768</v>
      </c>
    </row>
    <row r="41" spans="2:19" ht="30" customHeight="1">
      <c r="B41" s="36" t="str">
        <f>IF(ISERROR(VLOOKUP($D$11,$K$38:$P$41,3, FALSE)), "NABERS Rating type not defined", VLOOKUP($D$11,$K$38:$P$41,3, FALSE))</f>
        <v>NABERS Rating type not defined</v>
      </c>
      <c r="C41" s="36" t="str">
        <f>_xlfn.IFNA(VLOOKUP($D$11,$K$43:$P$46,3, FALSE),"NABERS Rating type not defined")</f>
        <v>NABERS Rating type not defined</v>
      </c>
      <c r="D41" s="37"/>
      <c r="E41" s="47"/>
      <c r="J41" s="3"/>
      <c r="K41" s="159" t="s">
        <v>769</v>
      </c>
      <c r="L41" s="159" t="s">
        <v>757</v>
      </c>
      <c r="M41" s="159" t="s">
        <v>758</v>
      </c>
      <c r="N41" s="159" t="s">
        <v>759</v>
      </c>
      <c r="O41" s="159" t="s">
        <v>760</v>
      </c>
      <c r="P41" s="163" t="s">
        <v>770</v>
      </c>
    </row>
    <row r="42" spans="2:19" ht="30" customHeight="1">
      <c r="B42" s="36" t="str">
        <f>IF(ISERROR(VLOOKUP($D$11,$K$38:$P$41,4, FALSE)), "NABERS Rating type not defined", VLOOKUP($D$11,$K$38:$P$41,4, FALSE))</f>
        <v>NABERS Rating type not defined</v>
      </c>
      <c r="C42" s="36" t="str">
        <f>_xlfn.IFNA(VLOOKUP($D$11,$K$43:$P$46,4, FALSE),"NABERS Rating type not defined")</f>
        <v>NABERS Rating type not defined</v>
      </c>
      <c r="D42" s="37"/>
      <c r="E42" s="47"/>
      <c r="J42" s="3"/>
      <c r="K42" s="3" t="s">
        <v>507</v>
      </c>
      <c r="L42" s="419" t="s">
        <v>752</v>
      </c>
      <c r="M42" s="420"/>
      <c r="N42" s="420"/>
      <c r="O42" s="420"/>
      <c r="P42" s="420"/>
      <c r="Q42" s="420"/>
      <c r="R42" s="420"/>
      <c r="S42" s="421"/>
    </row>
    <row r="43" spans="2:19" ht="30" customHeight="1">
      <c r="B43" s="36" t="str">
        <f>IF(ISERROR(VLOOKUP($D$11,$K$38:$P$41,5, FALSE)), "NABERS Rating type not defined", VLOOKUP($D$11,$K$38:$P$41,5, FALSE))</f>
        <v>NABERS Rating type not defined</v>
      </c>
      <c r="C43" s="36" t="str">
        <f>_xlfn.IFNA(VLOOKUP($D$11,$K$43:$P$46,5, FALSE),"NABERS Rating type not defined")</f>
        <v>NABERS Rating type not defined</v>
      </c>
      <c r="D43" s="37"/>
      <c r="E43" s="47"/>
      <c r="J43" s="3"/>
      <c r="K43" s="159" t="s">
        <v>756</v>
      </c>
      <c r="L43" s="158" t="s">
        <v>771</v>
      </c>
      <c r="M43" s="158" t="s">
        <v>771</v>
      </c>
      <c r="N43" s="158" t="s">
        <v>772</v>
      </c>
      <c r="O43" s="158" t="s">
        <v>772</v>
      </c>
      <c r="P43" s="158" t="s">
        <v>773</v>
      </c>
      <c r="Q43" s="158" t="s">
        <v>558</v>
      </c>
      <c r="R43" s="158" t="s">
        <v>561</v>
      </c>
      <c r="S43" s="158" t="s">
        <v>563</v>
      </c>
    </row>
    <row r="44" spans="2:19" ht="30" customHeight="1">
      <c r="B44" s="36" t="str">
        <f>IF(ISERROR(VLOOKUP($D$11,$K$38:$P$41,6, FALSE)), "NABERS Rating type not defined", VLOOKUP($D$11,$K$38:$P$41,6, FALSE))</f>
        <v>NABERS Rating type not defined</v>
      </c>
      <c r="C44" s="36" t="str">
        <f>_xlfn.IFNA(VLOOKUP($D$11,$K$43:$P$46,6, FALSE),"NABERS Rating type not defined")</f>
        <v>NABERS Rating type not defined</v>
      </c>
      <c r="D44" s="38"/>
      <c r="E44" s="47"/>
      <c r="J44" s="3"/>
      <c r="K44" s="159" t="s">
        <v>763</v>
      </c>
      <c r="L44" s="158" t="s">
        <v>771</v>
      </c>
      <c r="M44" s="158" t="s">
        <v>771</v>
      </c>
      <c r="N44" s="158" t="s">
        <v>772</v>
      </c>
      <c r="O44" s="158" t="s">
        <v>772</v>
      </c>
      <c r="P44" s="158" t="s">
        <v>773</v>
      </c>
      <c r="Q44" s="158" t="s">
        <v>558</v>
      </c>
      <c r="R44" s="158" t="s">
        <v>561</v>
      </c>
      <c r="S44" s="158" t="s">
        <v>563</v>
      </c>
    </row>
    <row r="45" spans="2:19" ht="30" customHeight="1">
      <c r="B45" s="412"/>
      <c r="C45" s="412"/>
      <c r="D45" s="74" t="s">
        <v>774</v>
      </c>
      <c r="E45" s="47"/>
      <c r="J45" s="3"/>
      <c r="K45" s="159" t="s">
        <v>764</v>
      </c>
      <c r="L45" s="158" t="s">
        <v>775</v>
      </c>
      <c r="M45" s="158" t="s">
        <v>771</v>
      </c>
      <c r="N45" s="158" t="s">
        <v>772</v>
      </c>
      <c r="O45" s="158" t="s">
        <v>772</v>
      </c>
      <c r="P45" s="158" t="s">
        <v>770</v>
      </c>
      <c r="Q45" s="158" t="s">
        <v>558</v>
      </c>
      <c r="R45" s="158" t="s">
        <v>561</v>
      </c>
      <c r="S45" s="158" t="s">
        <v>563</v>
      </c>
    </row>
    <row r="46" spans="2:19" ht="30" customHeight="1">
      <c r="B46" s="412" t="s">
        <v>524</v>
      </c>
      <c r="C46" s="412"/>
      <c r="D46" s="74" t="str">
        <f>IF(D38&gt;=4,"YES","NO")</f>
        <v>NO</v>
      </c>
      <c r="J46" s="3"/>
      <c r="K46" s="159" t="s">
        <v>769</v>
      </c>
      <c r="L46" s="158" t="s">
        <v>776</v>
      </c>
      <c r="M46" s="158" t="s">
        <v>771</v>
      </c>
      <c r="N46" s="158" t="s">
        <v>777</v>
      </c>
      <c r="O46" s="158" t="s">
        <v>777</v>
      </c>
      <c r="P46" s="158" t="s">
        <v>770</v>
      </c>
      <c r="Q46" s="158" t="s">
        <v>571</v>
      </c>
      <c r="R46" s="158" t="s">
        <v>573</v>
      </c>
      <c r="S46" s="158" t="s">
        <v>575</v>
      </c>
    </row>
    <row r="47" spans="2:19" ht="30" customHeight="1">
      <c r="B47" s="412" t="s">
        <v>778</v>
      </c>
      <c r="C47" s="412"/>
      <c r="D47" s="153" t="str">
        <f>IF(OR(D14="Please Select",D14=""),"Please select the Green Star Rating targeted",IF(D11=K44,VLOOKUP(D39,'Points Table'!B46:C56,2,FALSE),IF((D11=K43),VLOOKUP(D39,'Points Table'!E46:F56,2,FALSE),IF((D11=K45),VLOOKUP(D39,'Points Table'!E46:F56,2,FALSE),IF(D11=K46,VLOOKUP(D39,'Points Table'!B46:C56,2,FALSE),"Rating Type Not Defined")))))</f>
        <v>Please select the Green Star Rating targeted</v>
      </c>
      <c r="E47" s="154" t="str">
        <f>IF(L23="No","Conditional Requirement not met for the Green Star Rating targeted","")</f>
        <v/>
      </c>
      <c r="J47" s="3"/>
      <c r="K47" s="159" t="s">
        <v>779</v>
      </c>
      <c r="L47" s="159" t="s">
        <v>780</v>
      </c>
      <c r="M47" s="143" t="s">
        <v>771</v>
      </c>
      <c r="N47" s="143" t="s">
        <v>772</v>
      </c>
    </row>
    <row r="48" spans="2:19" ht="30" customHeight="1">
      <c r="J48" s="3"/>
      <c r="K48" s="159" t="s">
        <v>781</v>
      </c>
      <c r="L48" s="159" t="s">
        <v>782</v>
      </c>
      <c r="M48" s="143" t="s">
        <v>771</v>
      </c>
      <c r="N48" s="143" t="s">
        <v>783</v>
      </c>
    </row>
    <row r="49" spans="2:14" ht="30" customHeight="1">
      <c r="B49" s="181" t="s">
        <v>784</v>
      </c>
      <c r="C49" s="181"/>
      <c r="D49" s="181"/>
      <c r="E49" s="181"/>
      <c r="J49" s="3"/>
      <c r="K49" s="159" t="s">
        <v>785</v>
      </c>
      <c r="L49" s="159" t="s">
        <v>786</v>
      </c>
      <c r="M49" s="143" t="s">
        <v>771</v>
      </c>
      <c r="N49" s="143" t="s">
        <v>772</v>
      </c>
    </row>
    <row r="50" spans="2:14" ht="30" customHeight="1">
      <c r="E50" s="3"/>
      <c r="J50" s="3"/>
      <c r="K50" s="159" t="s">
        <v>787</v>
      </c>
      <c r="L50" s="159" t="s">
        <v>786</v>
      </c>
      <c r="M50" s="143" t="s">
        <v>771</v>
      </c>
      <c r="N50" s="143" t="s">
        <v>772</v>
      </c>
    </row>
    <row r="51" spans="2:14" ht="30" customHeight="1">
      <c r="B51" s="179" t="s">
        <v>646</v>
      </c>
      <c r="C51" s="184"/>
      <c r="D51" s="196"/>
      <c r="E51" s="3"/>
      <c r="J51" s="3"/>
    </row>
    <row r="52" spans="2:14" ht="30" customHeight="1">
      <c r="E52" s="3"/>
      <c r="J52" s="3"/>
    </row>
    <row r="53" spans="2:14" ht="30" customHeight="1">
      <c r="D53" s="36" t="s">
        <v>788</v>
      </c>
      <c r="E53" s="47"/>
      <c r="J53" s="3"/>
    </row>
    <row r="54" spans="2:14" ht="30" customHeight="1">
      <c r="B54" s="400" t="s">
        <v>789</v>
      </c>
      <c r="C54" s="400"/>
      <c r="D54" s="198"/>
      <c r="E54" s="51" t="s">
        <v>790</v>
      </c>
      <c r="J54" s="3"/>
    </row>
    <row r="55" spans="2:14" ht="30" customHeight="1">
      <c r="B55" s="400" t="s">
        <v>791</v>
      </c>
      <c r="C55" s="400"/>
      <c r="D55" s="199"/>
      <c r="E55" s="47"/>
      <c r="J55" s="3"/>
    </row>
    <row r="56" spans="2:14" ht="30" customHeight="1">
      <c r="B56" s="400" t="s">
        <v>792</v>
      </c>
      <c r="C56" s="400"/>
      <c r="D56" s="200"/>
      <c r="E56" s="47"/>
      <c r="J56" s="3"/>
      <c r="K56" s="3" t="s">
        <v>793</v>
      </c>
    </row>
    <row r="57" spans="2:14" ht="30" customHeight="1">
      <c r="B57" s="400" t="s">
        <v>794</v>
      </c>
      <c r="C57" s="400"/>
      <c r="D57" s="200"/>
      <c r="E57" s="47"/>
      <c r="J57" s="3"/>
      <c r="K57" s="3" t="s">
        <v>795</v>
      </c>
    </row>
    <row r="58" spans="2:14" ht="30" customHeight="1">
      <c r="B58" s="400" t="s">
        <v>796</v>
      </c>
      <c r="C58" s="400"/>
      <c r="D58" s="200"/>
      <c r="E58" s="47"/>
      <c r="J58" s="3"/>
    </row>
    <row r="59" spans="2:14" ht="30" customHeight="1">
      <c r="B59" s="400" t="str">
        <f>IF(D54="NABERS Energy Tenancy Rating","NABERS Energy Tenancy rating greenhouse gas emissions performance (kgCO2/m2 p.a.)",IF(D54="Tenant Collaboration","Tenant greenhouse gas emissions performance (kgCO2/m2 p.a.)", "Greenhouse Gas Emissions"))</f>
        <v>Greenhouse Gas Emissions</v>
      </c>
      <c r="C59" s="400"/>
      <c r="D59" s="201"/>
      <c r="E59" s="47"/>
      <c r="J59" s="3"/>
      <c r="K59" s="3" t="s">
        <v>797</v>
      </c>
    </row>
    <row r="60" spans="2:14" ht="30" customHeight="1">
      <c r="D60" s="36" t="s">
        <v>798</v>
      </c>
      <c r="E60" s="47"/>
      <c r="J60" s="3"/>
      <c r="K60" s="3" t="s">
        <v>799</v>
      </c>
    </row>
    <row r="61" spans="2:14" ht="30" customHeight="1">
      <c r="B61" s="400" t="s">
        <v>789</v>
      </c>
      <c r="C61" s="400"/>
      <c r="D61" s="198"/>
      <c r="E61" s="51" t="s">
        <v>790</v>
      </c>
      <c r="J61" s="3"/>
    </row>
    <row r="62" spans="2:14" ht="30" customHeight="1">
      <c r="B62" s="400" t="s">
        <v>791</v>
      </c>
      <c r="C62" s="400"/>
      <c r="D62" s="199"/>
      <c r="E62" s="47"/>
      <c r="J62" s="3"/>
    </row>
    <row r="63" spans="2:14" ht="30" customHeight="1">
      <c r="B63" s="400" t="s">
        <v>792</v>
      </c>
      <c r="C63" s="400"/>
      <c r="D63" s="200"/>
      <c r="E63" s="47"/>
      <c r="J63" s="3"/>
    </row>
    <row r="64" spans="2:14" ht="30" customHeight="1">
      <c r="B64" s="400" t="s">
        <v>794</v>
      </c>
      <c r="C64" s="400"/>
      <c r="D64" s="200"/>
      <c r="E64" s="47"/>
      <c r="J64" s="3"/>
    </row>
    <row r="65" spans="2:5" ht="30" customHeight="1">
      <c r="B65" s="400" t="s">
        <v>796</v>
      </c>
      <c r="C65" s="400"/>
      <c r="D65" s="200"/>
      <c r="E65" s="47"/>
    </row>
    <row r="66" spans="2:5" ht="30" customHeight="1">
      <c r="B66" s="400" t="str">
        <f>IF(D61="NABERS Energy Tenancy Rating","NABERS Energy Tenancy rating greenhouse gas emissions performance (kgCO2/m2 p.a.)",IF(D61="Tenant Collaboration","Tenant greenhouse gas emissions performance (kgCO2/m2 p.a.)", "Greenhouse Gas Emissions"))</f>
        <v>Greenhouse Gas Emissions</v>
      </c>
      <c r="C66" s="400"/>
      <c r="D66" s="201"/>
      <c r="E66" s="47"/>
    </row>
    <row r="67" spans="2:5" ht="30" customHeight="1">
      <c r="D67" s="36" t="s">
        <v>800</v>
      </c>
      <c r="E67" s="47"/>
    </row>
    <row r="68" spans="2:5" ht="30" customHeight="1">
      <c r="B68" s="400" t="s">
        <v>789</v>
      </c>
      <c r="C68" s="400"/>
      <c r="D68" s="198"/>
      <c r="E68" s="51" t="s">
        <v>790</v>
      </c>
    </row>
    <row r="69" spans="2:5" ht="30" customHeight="1">
      <c r="B69" s="400" t="s">
        <v>791</v>
      </c>
      <c r="C69" s="400"/>
      <c r="D69" s="199"/>
      <c r="E69" s="47"/>
    </row>
    <row r="70" spans="2:5" ht="30" customHeight="1">
      <c r="B70" s="400" t="s">
        <v>792</v>
      </c>
      <c r="C70" s="400"/>
      <c r="D70" s="200"/>
      <c r="E70" s="47"/>
    </row>
    <row r="71" spans="2:5" ht="30" customHeight="1">
      <c r="B71" s="400" t="s">
        <v>794</v>
      </c>
      <c r="C71" s="400"/>
      <c r="D71" s="200"/>
      <c r="E71" s="47"/>
    </row>
    <row r="72" spans="2:5" ht="30" customHeight="1">
      <c r="B72" s="400" t="s">
        <v>796</v>
      </c>
      <c r="C72" s="400"/>
      <c r="D72" s="200"/>
      <c r="E72" s="47"/>
    </row>
    <row r="73" spans="2:5" ht="30" customHeight="1">
      <c r="B73" s="400" t="str">
        <f>IF(D68="NABERS Energy Tenancy Rating","NABERS Energy Tenancy rating greenhouse gas emissions performance (kgCO2/m2 p.a.)",IF(D68="Tenant Collaboration","Tenant greenhouse gas emissions performance (kgCO2/m2 p.a.)", "Greenhouse Gas Emissions"))</f>
        <v>Greenhouse Gas Emissions</v>
      </c>
      <c r="C73" s="400"/>
      <c r="D73" s="201"/>
      <c r="E73" s="47"/>
    </row>
    <row r="74" spans="2:5" ht="30" customHeight="1">
      <c r="D74" s="36" t="s">
        <v>801</v>
      </c>
      <c r="E74" s="47"/>
    </row>
    <row r="75" spans="2:5" ht="30" customHeight="1">
      <c r="B75" s="400" t="s">
        <v>789</v>
      </c>
      <c r="C75" s="400"/>
      <c r="D75" s="198"/>
      <c r="E75" s="51" t="s">
        <v>790</v>
      </c>
    </row>
    <row r="76" spans="2:5" ht="30" customHeight="1">
      <c r="B76" s="400" t="s">
        <v>791</v>
      </c>
      <c r="C76" s="400"/>
      <c r="D76" s="199"/>
      <c r="E76" s="47"/>
    </row>
    <row r="77" spans="2:5" ht="30" customHeight="1">
      <c r="B77" s="400" t="s">
        <v>792</v>
      </c>
      <c r="C77" s="400"/>
      <c r="D77" s="200"/>
      <c r="E77" s="47"/>
    </row>
    <row r="78" spans="2:5" ht="30" customHeight="1">
      <c r="B78" s="400" t="s">
        <v>794</v>
      </c>
      <c r="C78" s="400"/>
      <c r="D78" s="200"/>
      <c r="E78" s="47"/>
    </row>
    <row r="79" spans="2:5" ht="30" customHeight="1">
      <c r="B79" s="400" t="s">
        <v>796</v>
      </c>
      <c r="C79" s="400"/>
      <c r="D79" s="200"/>
      <c r="E79" s="47"/>
    </row>
    <row r="80" spans="2:5" ht="30" customHeight="1">
      <c r="B80" s="400" t="str">
        <f>IF(D75="NABERS Energy Tenancy Rating","NABERS Energy Tenancy rating greenhouse gas emissions performance (kgCO2/m2 p.a.)",IF(D75="Tenant Collaboration","Tenant greenhouse gas emissions performance (kgCO2/m2 p.a.)", "Greenhouse Gas Emissions"))</f>
        <v>Greenhouse Gas Emissions</v>
      </c>
      <c r="C80" s="400"/>
      <c r="D80" s="201"/>
      <c r="E80" s="47"/>
    </row>
    <row r="81" spans="2:5" ht="30" customHeight="1">
      <c r="D81" s="36" t="s">
        <v>802</v>
      </c>
      <c r="E81" s="47"/>
    </row>
    <row r="82" spans="2:5" ht="30" customHeight="1">
      <c r="B82" s="400" t="s">
        <v>789</v>
      </c>
      <c r="C82" s="400"/>
      <c r="D82" s="198"/>
      <c r="E82" s="51" t="s">
        <v>790</v>
      </c>
    </row>
    <row r="83" spans="2:5" ht="30" customHeight="1">
      <c r="B83" s="400" t="s">
        <v>791</v>
      </c>
      <c r="C83" s="400"/>
      <c r="D83" s="199"/>
      <c r="E83" s="47"/>
    </row>
    <row r="84" spans="2:5" ht="30" customHeight="1">
      <c r="B84" s="400" t="s">
        <v>792</v>
      </c>
      <c r="C84" s="400"/>
      <c r="D84" s="200"/>
      <c r="E84" s="47"/>
    </row>
    <row r="85" spans="2:5" ht="30" customHeight="1">
      <c r="B85" s="400" t="s">
        <v>794</v>
      </c>
      <c r="C85" s="400"/>
      <c r="D85" s="200"/>
      <c r="E85" s="47"/>
    </row>
    <row r="86" spans="2:5" ht="30" customHeight="1">
      <c r="B86" s="400" t="s">
        <v>796</v>
      </c>
      <c r="C86" s="400"/>
      <c r="D86" s="200"/>
      <c r="E86" s="47"/>
    </row>
    <row r="87" spans="2:5" ht="30" customHeight="1">
      <c r="B87" s="400" t="str">
        <f>IF(D82="NABERS Energy Tenancy Rating","NABERS Energy Tenancy rating greenhouse gas emissions performance (kgCO2/m2 p.a.)",IF(D82="Tenant Collaboration","Tenant greenhouse gas emissions performance (kgCO2/m2 p.a.)", "Greenhouse Gas Emissions"))</f>
        <v>Greenhouse Gas Emissions</v>
      </c>
      <c r="C87" s="400"/>
      <c r="D87" s="201"/>
      <c r="E87" s="47"/>
    </row>
    <row r="88" spans="2:5" ht="30" customHeight="1">
      <c r="B88" s="69"/>
      <c r="C88" s="69"/>
      <c r="D88" s="70"/>
      <c r="E88" s="47"/>
    </row>
    <row r="89" spans="2:5" ht="30" customHeight="1">
      <c r="B89" s="398" t="s">
        <v>803</v>
      </c>
      <c r="C89" s="414"/>
      <c r="D89" s="262">
        <f>SUM(D56,D63,D70,D77,D84)</f>
        <v>0</v>
      </c>
      <c r="E89" s="3"/>
    </row>
    <row r="90" spans="2:5" ht="30" customHeight="1">
      <c r="B90" s="398" t="s">
        <v>804</v>
      </c>
      <c r="C90" s="414"/>
      <c r="D90" s="263">
        <f>IFERROR(D89/D51,0)</f>
        <v>0</v>
      </c>
      <c r="E90" s="3"/>
    </row>
    <row r="91" spans="2:5" ht="30" customHeight="1">
      <c r="B91" s="412" t="s">
        <v>805</v>
      </c>
      <c r="C91" s="412"/>
      <c r="D91" s="39" t="s">
        <v>774</v>
      </c>
      <c r="E91" s="3"/>
    </row>
    <row r="92" spans="2:5" ht="30" customHeight="1">
      <c r="B92" s="413" t="s">
        <v>806</v>
      </c>
      <c r="C92" s="413"/>
      <c r="D92" s="40">
        <f>IF(D11='AGO Emission Factors'!G8, "Not Applicable",VLOOKUP(D90,'Points Table'!E38:F41,2,TRUE))</f>
        <v>0</v>
      </c>
      <c r="E92" s="3"/>
    </row>
    <row r="93" spans="2:5" ht="20.100000000000001" customHeight="1">
      <c r="B93" s="3" t="s">
        <v>807</v>
      </c>
      <c r="E93" s="3"/>
    </row>
    <row r="94" spans="2:5" ht="20.100000000000001" customHeight="1">
      <c r="E94" s="3"/>
    </row>
    <row r="95" spans="2:5" ht="30" customHeight="1">
      <c r="B95" s="412" t="s">
        <v>808</v>
      </c>
      <c r="C95" s="412"/>
      <c r="D95" s="40">
        <f>SUM(D47,D92)</f>
        <v>0</v>
      </c>
      <c r="E95" s="3"/>
    </row>
    <row r="100" spans="2:9" ht="12.75" hidden="1" customHeight="1">
      <c r="B100" s="181" t="s">
        <v>809</v>
      </c>
      <c r="C100" s="181"/>
      <c r="D100" s="181"/>
      <c r="E100" s="181"/>
      <c r="F100" s="181"/>
      <c r="G100" s="181"/>
      <c r="H100" s="181"/>
      <c r="I100" s="181"/>
    </row>
    <row r="101" spans="2:9" ht="12.75" hidden="1" customHeight="1" thickBot="1">
      <c r="E101" s="3"/>
      <c r="F101" s="3"/>
      <c r="G101" s="3"/>
      <c r="H101" s="3"/>
      <c r="I101" s="3"/>
    </row>
    <row r="102" spans="2:9" ht="12.75" hidden="1" customHeight="1" thickBot="1">
      <c r="B102" s="89" t="s">
        <v>810</v>
      </c>
      <c r="C102" s="90"/>
      <c r="E102" s="89" t="s">
        <v>811</v>
      </c>
      <c r="F102" s="91"/>
      <c r="G102" s="92"/>
      <c r="H102" s="92"/>
      <c r="I102" s="93"/>
    </row>
    <row r="103" spans="2:9" ht="12.75" hidden="1" customHeight="1">
      <c r="B103" s="89" t="s">
        <v>812</v>
      </c>
      <c r="C103" s="94" t="s">
        <v>130</v>
      </c>
      <c r="E103" s="95" t="s">
        <v>813</v>
      </c>
      <c r="F103" s="96"/>
      <c r="G103" s="97"/>
      <c r="H103" s="97"/>
      <c r="I103" s="98"/>
    </row>
    <row r="104" spans="2:9" ht="12.75" hidden="1" customHeight="1" thickBot="1">
      <c r="B104" s="89" t="s">
        <v>814</v>
      </c>
      <c r="C104" s="99">
        <v>3.5999999999999999E-3</v>
      </c>
      <c r="D104" s="185"/>
      <c r="E104" s="100"/>
      <c r="F104" s="101"/>
      <c r="G104" s="102"/>
      <c r="H104" s="102"/>
      <c r="I104" s="103"/>
    </row>
    <row r="105" spans="2:9" ht="12.75" hidden="1" customHeight="1">
      <c r="E105" s="3"/>
      <c r="F105" s="3"/>
      <c r="G105" s="3"/>
      <c r="H105" s="3"/>
      <c r="I105" s="3"/>
    </row>
    <row r="106" spans="2:9" ht="12.75" hidden="1" customHeight="1">
      <c r="E106" s="3"/>
      <c r="F106" s="3"/>
      <c r="G106" s="3"/>
      <c r="H106" s="3"/>
      <c r="I106" s="3"/>
    </row>
    <row r="107" spans="2:9" ht="40.15" hidden="1" thickBot="1">
      <c r="B107" s="104" t="s">
        <v>815</v>
      </c>
      <c r="C107" s="104" t="s">
        <v>816</v>
      </c>
      <c r="D107" s="104" t="s">
        <v>817</v>
      </c>
      <c r="E107" s="104" t="s">
        <v>818</v>
      </c>
      <c r="F107" s="104" t="s">
        <v>819</v>
      </c>
      <c r="G107" s="105" t="s">
        <v>820</v>
      </c>
      <c r="H107" s="105" t="s">
        <v>821</v>
      </c>
      <c r="I107" s="105" t="s">
        <v>822</v>
      </c>
    </row>
    <row r="108" spans="2:9" ht="12.75" hidden="1" customHeight="1">
      <c r="B108" s="106"/>
      <c r="C108" s="107"/>
      <c r="D108" s="108"/>
      <c r="E108" s="108"/>
      <c r="F108" s="109"/>
      <c r="G108" s="110" t="str">
        <f t="shared" ref="G108:G119" si="0">IF(ISBLANK(D108),"",E108-D108+1)</f>
        <v/>
      </c>
      <c r="H108" s="111">
        <f>IF(OR($D$12-E108&gt;=0,D108-$D$13&gt;=0),0,IF(AND($D$12-D108&gt;0,$D$13-E108&gt;=0),E108-$D$12+1,IF(AND($D$12-D108&gt;0,$D$13-E108&lt;0),$D$13-$D$12+1,IF($D$13-E108&gt;=0,E108-D108+1,$D$13-$D$12+1))))</f>
        <v>0</v>
      </c>
      <c r="I108" s="111" t="str">
        <f>IFERROR(F108/G108*H108,"")</f>
        <v/>
      </c>
    </row>
    <row r="109" spans="2:9" ht="12.75" hidden="1" customHeight="1">
      <c r="B109" s="112"/>
      <c r="C109" s="113"/>
      <c r="D109" s="114"/>
      <c r="E109" s="114"/>
      <c r="F109" s="115"/>
      <c r="G109" s="110" t="str">
        <f t="shared" si="0"/>
        <v/>
      </c>
      <c r="H109" s="111">
        <f t="shared" ref="H109:H119" si="1">IF(OR($D$12-E109&gt;=0,D109-$D$13&gt;=0),0,IF(AND($D$12-D109&gt;0,$D$13-E109&gt;=0),E109-$D$12+1,IF(AND($D$12-D109&gt;0,$D$13-E109&lt;0),$D$13-$D$12+1,IF($D$13-E109&gt;=0,E109-D109+1,$D$13-$D$12+1))))</f>
        <v>0</v>
      </c>
      <c r="I109" s="111" t="str">
        <f t="shared" ref="I109:I119" si="2">IFERROR(F109/G109*H109,"")</f>
        <v/>
      </c>
    </row>
    <row r="110" spans="2:9" ht="12.75" hidden="1" customHeight="1">
      <c r="B110" s="112"/>
      <c r="C110" s="113"/>
      <c r="D110" s="114"/>
      <c r="E110" s="114"/>
      <c r="F110" s="115"/>
      <c r="G110" s="110" t="str">
        <f t="shared" si="0"/>
        <v/>
      </c>
      <c r="H110" s="111">
        <f t="shared" si="1"/>
        <v>0</v>
      </c>
      <c r="I110" s="111" t="str">
        <f t="shared" si="2"/>
        <v/>
      </c>
    </row>
    <row r="111" spans="2:9" ht="12.75" hidden="1" customHeight="1">
      <c r="B111" s="112"/>
      <c r="C111" s="113"/>
      <c r="D111" s="114"/>
      <c r="E111" s="114"/>
      <c r="F111" s="115"/>
      <c r="G111" s="110" t="str">
        <f t="shared" si="0"/>
        <v/>
      </c>
      <c r="H111" s="111">
        <f t="shared" si="1"/>
        <v>0</v>
      </c>
      <c r="I111" s="111" t="str">
        <f t="shared" si="2"/>
        <v/>
      </c>
    </row>
    <row r="112" spans="2:9" ht="12.75" hidden="1" customHeight="1">
      <c r="B112" s="112"/>
      <c r="C112" s="113"/>
      <c r="D112" s="114"/>
      <c r="E112" s="114"/>
      <c r="F112" s="115"/>
      <c r="G112" s="110" t="str">
        <f t="shared" si="0"/>
        <v/>
      </c>
      <c r="H112" s="111">
        <f t="shared" si="1"/>
        <v>0</v>
      </c>
      <c r="I112" s="111" t="str">
        <f t="shared" si="2"/>
        <v/>
      </c>
    </row>
    <row r="113" spans="2:23" ht="12.75" hidden="1" customHeight="1">
      <c r="B113" s="112"/>
      <c r="C113" s="113"/>
      <c r="D113" s="114"/>
      <c r="E113" s="114"/>
      <c r="F113" s="115"/>
      <c r="G113" s="110" t="str">
        <f t="shared" si="0"/>
        <v/>
      </c>
      <c r="H113" s="111">
        <f t="shared" si="1"/>
        <v>0</v>
      </c>
      <c r="I113" s="111" t="str">
        <f t="shared" si="2"/>
        <v/>
      </c>
    </row>
    <row r="114" spans="2:23" ht="12.75" hidden="1" customHeight="1">
      <c r="B114" s="112"/>
      <c r="C114" s="113"/>
      <c r="D114" s="114"/>
      <c r="E114" s="114"/>
      <c r="F114" s="115"/>
      <c r="G114" s="110" t="str">
        <f t="shared" si="0"/>
        <v/>
      </c>
      <c r="H114" s="111">
        <f t="shared" si="1"/>
        <v>0</v>
      </c>
      <c r="I114" s="111" t="str">
        <f t="shared" si="2"/>
        <v/>
      </c>
    </row>
    <row r="115" spans="2:23" ht="12.75" hidden="1" customHeight="1">
      <c r="B115" s="112"/>
      <c r="C115" s="113"/>
      <c r="D115" s="114"/>
      <c r="E115" s="114"/>
      <c r="F115" s="115"/>
      <c r="G115" s="110" t="str">
        <f t="shared" si="0"/>
        <v/>
      </c>
      <c r="H115" s="111">
        <f t="shared" si="1"/>
        <v>0</v>
      </c>
      <c r="I115" s="111" t="str">
        <f t="shared" si="2"/>
        <v/>
      </c>
    </row>
    <row r="116" spans="2:23" ht="12.75" hidden="1" customHeight="1">
      <c r="B116" s="112"/>
      <c r="C116" s="113"/>
      <c r="D116" s="114"/>
      <c r="E116" s="114"/>
      <c r="F116" s="115"/>
      <c r="G116" s="110" t="str">
        <f t="shared" si="0"/>
        <v/>
      </c>
      <c r="H116" s="111">
        <f t="shared" si="1"/>
        <v>0</v>
      </c>
      <c r="I116" s="111" t="str">
        <f t="shared" si="2"/>
        <v/>
      </c>
    </row>
    <row r="117" spans="2:23" ht="12.75" hidden="1" customHeight="1">
      <c r="B117" s="112"/>
      <c r="C117" s="113"/>
      <c r="D117" s="114"/>
      <c r="E117" s="114"/>
      <c r="F117" s="115"/>
      <c r="G117" s="110" t="str">
        <f t="shared" si="0"/>
        <v/>
      </c>
      <c r="H117" s="111">
        <f t="shared" si="1"/>
        <v>0</v>
      </c>
      <c r="I117" s="111" t="str">
        <f t="shared" si="2"/>
        <v/>
      </c>
    </row>
    <row r="118" spans="2:23" ht="12.75" hidden="1" customHeight="1">
      <c r="B118" s="112"/>
      <c r="C118" s="113"/>
      <c r="D118" s="114"/>
      <c r="E118" s="114"/>
      <c r="F118" s="115"/>
      <c r="G118" s="110" t="str">
        <f t="shared" si="0"/>
        <v/>
      </c>
      <c r="H118" s="111">
        <f t="shared" si="1"/>
        <v>0</v>
      </c>
      <c r="I118" s="111" t="str">
        <f t="shared" si="2"/>
        <v/>
      </c>
    </row>
    <row r="119" spans="2:23" ht="12.75" hidden="1" customHeight="1" thickBot="1">
      <c r="B119" s="116"/>
      <c r="C119" s="117"/>
      <c r="D119" s="118"/>
      <c r="E119" s="118"/>
      <c r="F119" s="119"/>
      <c r="G119" s="110" t="str">
        <f t="shared" si="0"/>
        <v/>
      </c>
      <c r="H119" s="111">
        <f t="shared" si="1"/>
        <v>0</v>
      </c>
      <c r="I119" s="111" t="str">
        <f t="shared" si="2"/>
        <v/>
      </c>
    </row>
    <row r="120" spans="2:23" ht="12.75" hidden="1" customHeight="1">
      <c r="H120" s="105" t="s">
        <v>823</v>
      </c>
      <c r="I120" s="111">
        <f>SUM(I108:I119)</f>
        <v>0</v>
      </c>
    </row>
    <row r="121" spans="2:23" ht="12.75" hidden="1" customHeight="1"/>
    <row r="122" spans="2:23" ht="12.75" hidden="1" customHeight="1"/>
    <row r="123" spans="2:23" ht="12.75" hidden="1" customHeight="1"/>
    <row r="124" spans="2:23" ht="12.75" hidden="1" customHeight="1">
      <c r="B124" s="398" t="s">
        <v>824</v>
      </c>
      <c r="C124" s="399"/>
      <c r="D124" s="186">
        <f>D37*D24/1000</f>
        <v>0</v>
      </c>
    </row>
    <row r="125" spans="2:23" ht="12.75" hidden="1" customHeight="1">
      <c r="B125" s="398" t="s">
        <v>825</v>
      </c>
      <c r="C125" s="399"/>
      <c r="D125" s="186">
        <f>D27*$F$125</f>
        <v>0</v>
      </c>
      <c r="E125" s="120" t="s">
        <v>826</v>
      </c>
      <c r="F125" s="52">
        <v>3.5999999999999999E-3</v>
      </c>
      <c r="G125" s="52" t="s">
        <v>827</v>
      </c>
    </row>
    <row r="126" spans="2:23" ht="12.75" hidden="1" customHeight="1">
      <c r="B126" s="398" t="s">
        <v>828</v>
      </c>
      <c r="C126" s="399"/>
      <c r="D126" s="186">
        <f>SUM(E32:E34)</f>
        <v>0</v>
      </c>
      <c r="Q126" s="131" t="s">
        <v>34</v>
      </c>
      <c r="R126" s="132" t="s">
        <v>34</v>
      </c>
      <c r="S126" s="132" t="s">
        <v>34</v>
      </c>
      <c r="T126" s="132" t="s">
        <v>34</v>
      </c>
      <c r="U126" s="132" t="s">
        <v>34</v>
      </c>
      <c r="V126" s="132" t="s">
        <v>34</v>
      </c>
      <c r="W126" s="133" t="s">
        <v>34</v>
      </c>
    </row>
    <row r="127" spans="2:23" ht="12.75" hidden="1" customHeight="1">
      <c r="B127" s="398" t="s">
        <v>829</v>
      </c>
      <c r="C127" s="399"/>
      <c r="D127" s="186">
        <f>I120*F125</f>
        <v>0</v>
      </c>
      <c r="Q127" s="136"/>
      <c r="R127" s="140" t="s">
        <v>830</v>
      </c>
      <c r="W127" s="135"/>
    </row>
    <row r="128" spans="2:23" ht="25.15" hidden="1" customHeight="1">
      <c r="B128" s="398" t="s">
        <v>831</v>
      </c>
      <c r="C128" s="399"/>
      <c r="D128" s="187" t="str">
        <f>IFERROR(D126/D124,"0%")</f>
        <v>0%</v>
      </c>
      <c r="E128" s="125" t="str">
        <f>IF(VLOOKUP(1,$Q$127:$W$134,4,0)=0,"",VLOOKUP(1,$Q$127:$W$134,4,0))</f>
        <v/>
      </c>
      <c r="F128"/>
      <c r="G128" s="397" t="str">
        <f>IF(VLOOKUP(1,Q127:W134,7,0)=0,"",VLOOKUP(1,Q127:W134,7,0))</f>
        <v/>
      </c>
      <c r="H128" s="397"/>
      <c r="I128"/>
      <c r="Q128" s="134" t="s">
        <v>832</v>
      </c>
      <c r="R128" s="121" t="s">
        <v>833</v>
      </c>
      <c r="S128" s="122" t="s">
        <v>832</v>
      </c>
      <c r="T128" s="3" t="s">
        <v>834</v>
      </c>
      <c r="U128" s="123" t="s">
        <v>835</v>
      </c>
      <c r="V128" s="123" t="s">
        <v>832</v>
      </c>
      <c r="W128" s="135" t="s">
        <v>836</v>
      </c>
    </row>
    <row r="129" spans="2:23" ht="25.15" hidden="1" customHeight="1">
      <c r="B129" s="398" t="s">
        <v>837</v>
      </c>
      <c r="C129" s="399"/>
      <c r="D129" s="187" t="str">
        <f>IFERROR(D127/D125,"0%")</f>
        <v>0%</v>
      </c>
      <c r="E129" s="125" t="str">
        <f>IFERROR(IF(D129&gt;=0.15,"Is the renewable energy metered, monitored and validated?",""),"")</f>
        <v>Is the renewable energy metered, monitored and validated?</v>
      </c>
      <c r="F129" s="197"/>
      <c r="Q129" s="134">
        <f t="shared" ref="Q129:Q134" si="3">S129*V129</f>
        <v>0</v>
      </c>
      <c r="R129" s="121" t="s">
        <v>838</v>
      </c>
      <c r="S129" s="122">
        <f>IF($D$128=0,1,0)</f>
        <v>0</v>
      </c>
      <c r="U129" s="123"/>
      <c r="V129" s="123">
        <v>1</v>
      </c>
      <c r="W129" s="135"/>
    </row>
    <row r="130" spans="2:23" ht="12.75" hidden="1" customHeight="1">
      <c r="B130" s="398" t="s">
        <v>839</v>
      </c>
      <c r="C130" s="399"/>
      <c r="D130" s="187" t="str">
        <f>IFERROR((D127+D31*D27*F125)/D125,"0%")</f>
        <v>0%</v>
      </c>
      <c r="Q130" s="134">
        <f t="shared" si="3"/>
        <v>0</v>
      </c>
      <c r="R130" s="121" t="s">
        <v>840</v>
      </c>
      <c r="S130" s="122">
        <f>IF(AND($D$128&gt;0,$D$128&lt;=0.01),1,0)</f>
        <v>0</v>
      </c>
      <c r="T130" s="3" t="s">
        <v>841</v>
      </c>
      <c r="U130" s="123" t="s">
        <v>842</v>
      </c>
      <c r="V130" s="123">
        <f>IF(OR($F$128="Yes",$F$128=""),1,0)</f>
        <v>1</v>
      </c>
      <c r="W130" s="135"/>
    </row>
    <row r="131" spans="2:23" ht="12.75" hidden="1" customHeight="1">
      <c r="B131" s="408" t="s">
        <v>843</v>
      </c>
      <c r="C131" s="409"/>
      <c r="D131" s="40" t="str">
        <f>IF(AND(D132="Yes",D133="Yes",D134="Yes"),"1 point achieved","No points achieved")</f>
        <v>No points achieved</v>
      </c>
      <c r="F131" s="4"/>
      <c r="Q131" s="134">
        <f t="shared" si="3"/>
        <v>0</v>
      </c>
      <c r="R131" s="121"/>
      <c r="S131" s="122">
        <f>IF(AND($D$128&gt;0,$D$128&lt;=0.01),1,0)</f>
        <v>0</v>
      </c>
      <c r="T131" s="3" t="s">
        <v>841</v>
      </c>
      <c r="U131" s="123" t="s">
        <v>844</v>
      </c>
      <c r="V131" s="123">
        <f>IF($F$128="No",1,0)</f>
        <v>0</v>
      </c>
      <c r="W131" s="135" t="s">
        <v>845</v>
      </c>
    </row>
    <row r="132" spans="2:23" ht="12.75" hidden="1" customHeight="1">
      <c r="B132" s="410" t="s">
        <v>846</v>
      </c>
      <c r="C132" s="411"/>
      <c r="D132" s="104" t="str">
        <f>IF(D39&lt;4,"No","Yes")</f>
        <v>No</v>
      </c>
      <c r="F132" s="4"/>
      <c r="Q132" s="134">
        <f t="shared" si="3"/>
        <v>0</v>
      </c>
      <c r="R132" s="121" t="s">
        <v>847</v>
      </c>
      <c r="S132" s="122">
        <f>IF(AND($D$128&gt;0.01,$D$128&lt;=0.05),1,0)</f>
        <v>0</v>
      </c>
      <c r="T132" s="3" t="s">
        <v>848</v>
      </c>
      <c r="U132" s="123" t="s">
        <v>849</v>
      </c>
      <c r="V132" s="123">
        <f>IF($F$128="Yes",1,0)</f>
        <v>0</v>
      </c>
      <c r="W132" s="135" t="s">
        <v>845</v>
      </c>
    </row>
    <row r="133" spans="2:23" ht="12.75" hidden="1" customHeight="1">
      <c r="B133" s="410" t="s">
        <v>850</v>
      </c>
      <c r="C133" s="411"/>
      <c r="D133" s="104" t="b">
        <f>IF(D128=0,"Yes",IF(D128&lt;=0.01,IF(AND(F128="No",I128="Yes"),"Yes","No"),IF(D128&lt;=0.05,IF(AND(F128="Yes",I128="Yes"),"Yes","No"))))</f>
        <v>0</v>
      </c>
      <c r="F133" s="4"/>
      <c r="Q133" s="134">
        <f t="shared" si="3"/>
        <v>0</v>
      </c>
      <c r="R133" s="121"/>
      <c r="S133" s="122">
        <f>IF(AND($D$128&gt;0.01,$D$128&lt;=0.05),1,0)</f>
        <v>0</v>
      </c>
      <c r="T133" s="3" t="s">
        <v>848</v>
      </c>
      <c r="U133" s="123" t="s">
        <v>851</v>
      </c>
      <c r="V133" s="123">
        <f>IF(OR($F$128="No",$F$128=""),1,0)</f>
        <v>1</v>
      </c>
      <c r="W133" s="135"/>
    </row>
    <row r="134" spans="2:23" ht="12.75" hidden="1" customHeight="1">
      <c r="B134" s="410" t="s">
        <v>852</v>
      </c>
      <c r="C134" s="411"/>
      <c r="D134" s="104" t="str">
        <f>IF(D130&gt;=1,"Yes","No")</f>
        <v>Yes</v>
      </c>
      <c r="F134" s="4"/>
      <c r="Q134" s="134">
        <f t="shared" si="3"/>
        <v>1</v>
      </c>
      <c r="R134" s="121" t="s">
        <v>853</v>
      </c>
      <c r="S134" s="122">
        <f>IF(D$128&gt;0.05,1,0)</f>
        <v>1</v>
      </c>
      <c r="U134" s="123"/>
      <c r="V134" s="123">
        <v>1</v>
      </c>
      <c r="W134" s="135"/>
    </row>
    <row r="135" spans="2:23" ht="12.75" hidden="1" customHeight="1">
      <c r="B135" s="408" t="s">
        <v>854</v>
      </c>
      <c r="C135" s="409"/>
      <c r="D135" s="40" t="str">
        <f>IF(D129&lt;0.15,"No points achieved",IF(D129&lt;0.3,IF(F129="Yes","1 point achieved","No points achieved"),IF(F129="Yes","2 points achieved","No points achieved")))</f>
        <v>No points achieved</v>
      </c>
      <c r="F135" s="4"/>
      <c r="Q135" s="136"/>
      <c r="W135" s="135"/>
    </row>
    <row r="136" spans="2:23" ht="12.75" hidden="1" customHeight="1">
      <c r="Q136" s="137" t="s">
        <v>849</v>
      </c>
      <c r="R136" s="138" t="s">
        <v>844</v>
      </c>
      <c r="S136" s="138"/>
      <c r="T136" s="138"/>
      <c r="U136" s="138"/>
      <c r="V136" s="138"/>
      <c r="W136" s="139"/>
    </row>
    <row r="137" spans="2:23" ht="12.75" hidden="1" customHeight="1"/>
    <row r="138" spans="2:23" ht="12.75" hidden="1" customHeight="1"/>
    <row r="139" spans="2:23" ht="12.75" hidden="1" customHeight="1"/>
    <row r="140" spans="2:23" ht="12.75" hidden="1" customHeight="1"/>
    <row r="141" spans="2:23" ht="12.75" hidden="1" customHeight="1"/>
    <row r="142" spans="2:23" ht="12.75" hidden="1" customHeight="1">
      <c r="B142" s="188" t="s">
        <v>855</v>
      </c>
      <c r="C142" s="189"/>
      <c r="D142" s="190" t="s">
        <v>856</v>
      </c>
    </row>
    <row r="143" spans="2:23" ht="12.75" hidden="1" customHeight="1">
      <c r="B143" s="191" t="s">
        <v>857</v>
      </c>
      <c r="C143" s="192">
        <v>0.15</v>
      </c>
      <c r="D143" s="190" t="s">
        <v>858</v>
      </c>
    </row>
    <row r="144" spans="2:23" ht="12.75" hidden="1" customHeight="1">
      <c r="B144" s="190" t="s">
        <v>859</v>
      </c>
      <c r="C144" s="192">
        <v>0.3</v>
      </c>
      <c r="D144" s="190" t="s">
        <v>860</v>
      </c>
    </row>
  </sheetData>
  <sheetProtection sort="0" pivotTables="0"/>
  <customSheetViews>
    <customSheetView guid="{8B2770CE-D161-47F0-859F-125AE657BDD5}" scale="85" showGridLines="0" fitToPage="1" hiddenRows="1" topLeftCell="A40">
      <selection activeCell="D65" sqref="D65"/>
      <pageMargins left="0" right="0" top="0" bottom="0" header="0" footer="0"/>
      <pageSetup paperSize="9" scale="24" orientation="portrait" r:id="rId1"/>
    </customSheetView>
    <customSheetView guid="{693EBD7D-AE81-4642-BB20-D90B339CE02F}" scale="85" fitToPage="1" hiddenRows="1">
      <selection activeCell="B11" sqref="B11:C11"/>
      <pageMargins left="0" right="0" top="0" bottom="0" header="0" footer="0"/>
      <pageSetup paperSize="9" scale="24" orientation="portrait" r:id="rId2"/>
    </customSheetView>
    <customSheetView guid="{E06C82F7-4BAD-4D00-99B9-78356C6407C1}" showGridLines="0" fitToPage="1" hiddenColumns="1">
      <selection activeCell="D11" sqref="D11"/>
      <pageMargins left="0" right="0" top="0" bottom="0" header="0" footer="0"/>
      <pageSetup paperSize="9" scale="24" orientation="portrait" r:id="rId3"/>
    </customSheetView>
    <customSheetView guid="{F1CAFB27-0D4C-4982-A367-458EC793250D}" showGridLines="0" fitToPage="1" hiddenColumns="1" topLeftCell="A94">
      <selection activeCell="D118" sqref="D118"/>
      <pageMargins left="0" right="0" top="0" bottom="0" header="0" footer="0"/>
      <pageSetup paperSize="9" scale="24" orientation="portrait" r:id="rId4"/>
    </customSheetView>
    <customSheetView guid="{0AA775FA-F8A9-4D24-AA12-2EE4A0C4B54A}" showGridLines="0" fitToPage="1" topLeftCell="A31">
      <selection activeCell="D22" sqref="D22"/>
      <pageMargins left="0" right="0" top="0" bottom="0" header="0" footer="0"/>
      <pageSetup paperSize="9" scale="24" orientation="portrait" r:id="rId5"/>
    </customSheetView>
  </customSheetViews>
  <mergeCells count="67">
    <mergeCell ref="K36:M36"/>
    <mergeCell ref="B64:C64"/>
    <mergeCell ref="B85:C85"/>
    <mergeCell ref="B76:C76"/>
    <mergeCell ref="B65:C65"/>
    <mergeCell ref="B68:C68"/>
    <mergeCell ref="B69:C69"/>
    <mergeCell ref="L37:P37"/>
    <mergeCell ref="L42:S42"/>
    <mergeCell ref="B7:C7"/>
    <mergeCell ref="B8:C8"/>
    <mergeCell ref="B95:C95"/>
    <mergeCell ref="B47:C47"/>
    <mergeCell ref="B92:C92"/>
    <mergeCell ref="B91:C91"/>
    <mergeCell ref="B46:C46"/>
    <mergeCell ref="B89:C89"/>
    <mergeCell ref="B90:C90"/>
    <mergeCell ref="B45:C45"/>
    <mergeCell ref="B82:C82"/>
    <mergeCell ref="B83:C83"/>
    <mergeCell ref="B61:C61"/>
    <mergeCell ref="B62:C62"/>
    <mergeCell ref="B12:C12"/>
    <mergeCell ref="B20:C20"/>
    <mergeCell ref="B135:C135"/>
    <mergeCell ref="B125:C125"/>
    <mergeCell ref="B126:C126"/>
    <mergeCell ref="B127:C127"/>
    <mergeCell ref="B128:C128"/>
    <mergeCell ref="B130:C130"/>
    <mergeCell ref="B134:C134"/>
    <mergeCell ref="B132:C132"/>
    <mergeCell ref="B133:C133"/>
    <mergeCell ref="B131:C131"/>
    <mergeCell ref="K20:L20"/>
    <mergeCell ref="K9:L10"/>
    <mergeCell ref="E21:E22"/>
    <mergeCell ref="B9:C9"/>
    <mergeCell ref="B87:C87"/>
    <mergeCell ref="B80:C80"/>
    <mergeCell ref="B71:C71"/>
    <mergeCell ref="B73:C73"/>
    <mergeCell ref="B75:C75"/>
    <mergeCell ref="B77:C77"/>
    <mergeCell ref="B11:C11"/>
    <mergeCell ref="B86:C86"/>
    <mergeCell ref="B54:C54"/>
    <mergeCell ref="B66:C66"/>
    <mergeCell ref="B72:C72"/>
    <mergeCell ref="B78:C78"/>
    <mergeCell ref="G128:H128"/>
    <mergeCell ref="B129:C129"/>
    <mergeCell ref="B63:C63"/>
    <mergeCell ref="B10:C10"/>
    <mergeCell ref="B13:C13"/>
    <mergeCell ref="B55:C55"/>
    <mergeCell ref="B56:C56"/>
    <mergeCell ref="B57:C57"/>
    <mergeCell ref="B58:C58"/>
    <mergeCell ref="B59:C59"/>
    <mergeCell ref="B15:C15"/>
    <mergeCell ref="B21:B22"/>
    <mergeCell ref="B124:C124"/>
    <mergeCell ref="B79:C79"/>
    <mergeCell ref="B70:C70"/>
    <mergeCell ref="B84:C84"/>
  </mergeCells>
  <conditionalFormatting sqref="B50:E95">
    <cfRule type="expression" dxfId="114" priority="40">
      <formula>$D$11="Hotel"</formula>
    </cfRule>
    <cfRule type="expression" dxfId="113" priority="41">
      <formula>$D$11="Whole Building"</formula>
    </cfRule>
  </conditionalFormatting>
  <conditionalFormatting sqref="D11">
    <cfRule type="expression" dxfId="112" priority="1">
      <formula>$D$11=$K$42</formula>
    </cfRule>
  </conditionalFormatting>
  <conditionalFormatting sqref="D14">
    <cfRule type="expression" dxfId="111" priority="3">
      <formula>$D$14=$N$6</formula>
    </cfRule>
  </conditionalFormatting>
  <conditionalFormatting sqref="E47">
    <cfRule type="expression" dxfId="110" priority="2">
      <formula>$E$47="Conditional Requirements not met for the Green Star Rating targeted"</formula>
    </cfRule>
  </conditionalFormatting>
  <conditionalFormatting sqref="E128">
    <cfRule type="expression" dxfId="109" priority="8">
      <formula>ISNUMBER(SEARCH("s",E128))</formula>
    </cfRule>
  </conditionalFormatting>
  <conditionalFormatting sqref="E129">
    <cfRule type="expression" dxfId="108" priority="9">
      <formula>ISNUMBER(SEARCH("Is",E129))</formula>
    </cfRule>
  </conditionalFormatting>
  <conditionalFormatting sqref="F129">
    <cfRule type="expression" dxfId="107" priority="5">
      <formula>ISNUMBER(SEARCH("s",E129))</formula>
    </cfRule>
  </conditionalFormatting>
  <conditionalFormatting sqref="G128">
    <cfRule type="expression" dxfId="106" priority="7">
      <formula>ISNUMBER(SEARCH("s",$G$128:G129))</formula>
    </cfRule>
  </conditionalFormatting>
  <dataValidations count="5">
    <dataValidation type="list" allowBlank="1" showInputMessage="1" showErrorMessage="1" sqref="D10" xr:uid="{00000000-0002-0000-0300-000001000000}">
      <formula1>BldUse</formula1>
    </dataValidation>
    <dataValidation type="list" allowBlank="1" showInputMessage="1" showErrorMessage="1" sqref="D15" xr:uid="{00000000-0002-0000-0300-000002000000}">
      <formula1>$N$16:$N$17</formula1>
    </dataValidation>
    <dataValidation type="list" allowBlank="1" showInputMessage="1" showErrorMessage="1" sqref="F129" xr:uid="{00000000-0002-0000-0300-000003000000}">
      <formula1>$Q$136:$R$136</formula1>
    </dataValidation>
    <dataValidation type="list" allowBlank="1" showInputMessage="1" showErrorMessage="1" sqref="D11" xr:uid="{00000000-0002-0000-0300-000006000000}">
      <formula1>$K$42:$K$46</formula1>
    </dataValidation>
    <dataValidation type="list" allowBlank="1" showInputMessage="1" showErrorMessage="1" sqref="D14" xr:uid="{00000000-0002-0000-0300-000004000000}">
      <formula1>$N$6:$N$13</formula1>
    </dataValidation>
  </dataValidations>
  <pageMargins left="0.70866141732283472" right="0.70866141732283472" top="0.74803149606299213" bottom="0.74803149606299213" header="0.31496062992125984" footer="0.31496062992125984"/>
  <pageSetup paperSize="9" scale="24" orientation="portrait" r:id="rId6"/>
  <drawing r:id="rId7"/>
  <legacyDrawing r:id="rId8"/>
  <legacyDrawingHF r:id="rId9"/>
  <extLst>
    <ext xmlns:x14="http://schemas.microsoft.com/office/spreadsheetml/2009/9/main" uri="{78C0D931-6437-407d-A8EE-F0AAD7539E65}">
      <x14:conditionalFormattings>
        <x14:conditionalFormatting xmlns:xm="http://schemas.microsoft.com/office/excel/2006/main">
          <x14:cfRule type="expression" priority="35" id="{76A39F40-5998-47DF-BE00-2F6D6F843367}">
            <xm:f>IF($D$54='AGO Emission Factors'!$I$8,'AGO Emission Factors'!#REF!)</xm:f>
            <x14:dxf/>
          </x14:cfRule>
          <xm:sqref>B59:C59 B66:C66 B73:C73 B80:C80 B87:C87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5000000}">
          <x14:formula1>
            <xm:f>'AGO Emission Factors'!$I$8:$I$9</xm:f>
          </x14:formula1>
          <xm:sqref>D54 D61 D68 D75 D82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pageSetUpPr fitToPage="1"/>
  </sheetPr>
  <dimension ref="B1:W152"/>
  <sheetViews>
    <sheetView showGridLines="0" zoomScale="70" zoomScaleNormal="70" workbookViewId="0">
      <selection activeCell="D11" sqref="D11"/>
    </sheetView>
  </sheetViews>
  <sheetFormatPr defaultColWidth="9.28515625" defaultRowHeight="12.75" customHeight="1"/>
  <cols>
    <col min="1" max="1" width="5.7109375" style="3" customWidth="1"/>
    <col min="2" max="2" width="45.7109375" style="3" customWidth="1"/>
    <col min="3" max="3" width="20.7109375" style="3" customWidth="1"/>
    <col min="4" max="4" width="45.7109375" style="3" customWidth="1"/>
    <col min="5" max="5" width="31.7109375" style="4" customWidth="1"/>
    <col min="6" max="9" width="14.7109375" style="47" customWidth="1"/>
    <col min="10" max="10" width="5.7109375" style="4" customWidth="1"/>
    <col min="11" max="15" width="31.7109375" style="3" customWidth="1"/>
    <col min="16" max="16" width="10.28515625" style="3" customWidth="1"/>
    <col min="17" max="17" width="17.5703125" style="3" customWidth="1"/>
    <col min="18" max="18" width="19.28515625" style="3" customWidth="1"/>
    <col min="19" max="19" width="28" style="3" customWidth="1"/>
    <col min="20" max="20" width="13.7109375" style="3" customWidth="1"/>
    <col min="21" max="21" width="44" style="3" customWidth="1"/>
    <col min="22" max="22" width="9.28515625" style="3" customWidth="1"/>
    <col min="23" max="23" width="56.28515625" style="3" customWidth="1"/>
    <col min="24" max="16384" width="9.28515625" style="3"/>
  </cols>
  <sheetData>
    <row r="1" spans="2:16" ht="83.25" customHeight="1">
      <c r="K1" s="3" t="s">
        <v>34</v>
      </c>
      <c r="L1" s="3" t="s">
        <v>34</v>
      </c>
      <c r="M1" s="3" t="s">
        <v>34</v>
      </c>
      <c r="N1" s="3" t="s">
        <v>34</v>
      </c>
      <c r="O1" s="3" t="s">
        <v>34</v>
      </c>
      <c r="P1" s="3" t="s">
        <v>34</v>
      </c>
    </row>
    <row r="3" spans="2:16" s="180" customFormat="1" ht="33.75" customHeight="1">
      <c r="B3" s="63" t="s">
        <v>861</v>
      </c>
      <c r="C3" s="63"/>
      <c r="D3" s="63"/>
      <c r="E3" s="63"/>
      <c r="F3" s="47"/>
      <c r="G3" s="47"/>
      <c r="H3" s="47"/>
      <c r="I3" s="47"/>
      <c r="J3" s="47"/>
      <c r="K3" s="47"/>
      <c r="L3" s="47"/>
      <c r="M3" s="47"/>
    </row>
    <row r="4" spans="2:16" ht="12.75" customHeight="1">
      <c r="J4" s="3"/>
    </row>
    <row r="5" spans="2:16" ht="30" customHeight="1">
      <c r="B5" s="181" t="s">
        <v>713</v>
      </c>
      <c r="C5" s="181"/>
      <c r="D5" s="181"/>
      <c r="E5" s="181"/>
      <c r="J5" s="3"/>
    </row>
    <row r="6" spans="2:16" ht="30" customHeight="1">
      <c r="J6" s="3"/>
      <c r="N6" s="128" t="s">
        <v>507</v>
      </c>
    </row>
    <row r="7" spans="2:16" ht="30" customHeight="1">
      <c r="B7" s="398" t="s">
        <v>714</v>
      </c>
      <c r="C7" s="399"/>
      <c r="D7" s="47"/>
      <c r="E7" s="47"/>
      <c r="J7" s="3"/>
      <c r="N7" s="3" t="s">
        <v>715</v>
      </c>
    </row>
    <row r="8" spans="2:16" ht="30" customHeight="1">
      <c r="B8" s="398" t="s">
        <v>641</v>
      </c>
      <c r="C8" s="399"/>
      <c r="D8" s="73"/>
      <c r="E8" s="47"/>
      <c r="J8" s="3"/>
      <c r="N8" s="128" t="s">
        <v>716</v>
      </c>
    </row>
    <row r="9" spans="2:16" ht="30" customHeight="1">
      <c r="B9" s="398" t="s">
        <v>717</v>
      </c>
      <c r="C9" s="399"/>
      <c r="D9" s="37"/>
      <c r="E9" s="47"/>
      <c r="J9" s="3"/>
      <c r="N9" s="128" t="s">
        <v>719</v>
      </c>
    </row>
    <row r="10" spans="2:16" ht="30" customHeight="1">
      <c r="B10" s="398" t="s">
        <v>720</v>
      </c>
      <c r="C10" s="399"/>
      <c r="D10" s="37"/>
      <c r="E10" s="65"/>
      <c r="J10" s="3"/>
      <c r="N10" s="128" t="s">
        <v>721</v>
      </c>
    </row>
    <row r="11" spans="2:16" ht="30" customHeight="1">
      <c r="B11" s="398" t="s">
        <v>554</v>
      </c>
      <c r="C11" s="399"/>
      <c r="D11" s="49"/>
      <c r="E11" s="50" t="s">
        <v>722</v>
      </c>
      <c r="J11" s="3"/>
      <c r="N11" s="128" t="s">
        <v>516</v>
      </c>
    </row>
    <row r="12" spans="2:16" ht="30" customHeight="1">
      <c r="B12" s="398" t="s">
        <v>80</v>
      </c>
      <c r="C12" s="399"/>
      <c r="D12" s="124"/>
      <c r="E12" s="47"/>
      <c r="I12" s="52" t="s">
        <v>723</v>
      </c>
      <c r="J12" s="3"/>
      <c r="N12" s="128" t="s">
        <v>518</v>
      </c>
    </row>
    <row r="13" spans="2:16" ht="30" customHeight="1">
      <c r="B13" s="401" t="s">
        <v>724</v>
      </c>
      <c r="C13" s="402"/>
      <c r="D13" s="145">
        <f>DATE(YEAR(D12)+1,MONTH(D12),DAY(D12)-1)</f>
        <v>365</v>
      </c>
      <c r="E13" s="47"/>
      <c r="I13" s="52"/>
      <c r="J13" s="3"/>
      <c r="N13" s="128" t="s">
        <v>520</v>
      </c>
    </row>
    <row r="14" spans="2:16" ht="30" customHeight="1">
      <c r="B14" s="165" t="s">
        <v>862</v>
      </c>
      <c r="C14" s="166"/>
      <c r="D14" s="152"/>
      <c r="E14" s="47"/>
      <c r="I14" s="52"/>
      <c r="J14" s="3"/>
    </row>
    <row r="15" spans="2:16" ht="30" customHeight="1">
      <c r="B15" s="398" t="s">
        <v>725</v>
      </c>
      <c r="C15" s="399"/>
      <c r="D15" s="37"/>
      <c r="E15" s="47"/>
      <c r="I15" s="52" t="s">
        <v>726</v>
      </c>
      <c r="J15" s="3"/>
    </row>
    <row r="16" spans="2:16" ht="30" customHeight="1">
      <c r="J16" s="3"/>
      <c r="K16" s="406" t="s">
        <v>718</v>
      </c>
      <c r="L16" s="406"/>
      <c r="N16" s="128" t="s">
        <v>723</v>
      </c>
    </row>
    <row r="17" spans="2:14" ht="30" customHeight="1">
      <c r="B17" s="181" t="s">
        <v>863</v>
      </c>
      <c r="C17" s="181"/>
      <c r="D17" s="181"/>
      <c r="E17" s="181"/>
      <c r="J17" s="3"/>
      <c r="K17" s="405"/>
      <c r="L17" s="405"/>
      <c r="N17" s="128" t="s">
        <v>726</v>
      </c>
    </row>
    <row r="18" spans="2:14" ht="30" customHeight="1">
      <c r="J18" s="3"/>
      <c r="K18" s="128" t="s">
        <v>427</v>
      </c>
      <c r="L18" s="142">
        <f>D12</f>
        <v>0</v>
      </c>
    </row>
    <row r="19" spans="2:14" ht="30" customHeight="1">
      <c r="B19" s="36" t="s">
        <v>729</v>
      </c>
      <c r="C19" s="36" t="s">
        <v>107</v>
      </c>
      <c r="D19" s="47"/>
      <c r="E19" s="47"/>
      <c r="J19" s="3"/>
      <c r="K19" s="128" t="s">
        <v>436</v>
      </c>
      <c r="L19" s="142">
        <f>D28</f>
        <v>0</v>
      </c>
    </row>
    <row r="20" spans="2:14" ht="45" customHeight="1">
      <c r="B20" s="36" t="s">
        <v>864</v>
      </c>
      <c r="C20" s="36" t="s">
        <v>773</v>
      </c>
      <c r="D20" s="37"/>
      <c r="E20" s="51" t="s">
        <v>865</v>
      </c>
      <c r="J20" s="3"/>
      <c r="K20" s="128" t="s">
        <v>438</v>
      </c>
      <c r="L20" s="142">
        <f>D27</f>
        <v>0</v>
      </c>
    </row>
    <row r="21" spans="2:14" ht="45" customHeight="1">
      <c r="B21" s="36" t="str">
        <f>_xlfn.IFNA(VLOOKUP($D$11,$K$53:$U$56,9, FALSE),"NABERS Rating type not defined")</f>
        <v>NABERS Rating type not defined</v>
      </c>
      <c r="C21" s="36" t="str">
        <f>_xlfn.IFNA(VLOOKUP($D$11,$K$53:$U$56,10, FALSE),"NABERS Rating type not defined")</f>
        <v>NABERS Rating type not defined</v>
      </c>
      <c r="D21" s="37"/>
      <c r="E21" s="51" t="s">
        <v>616</v>
      </c>
      <c r="J21" s="3"/>
      <c r="K21" s="144" t="s">
        <v>727</v>
      </c>
      <c r="L21" s="128">
        <f>L18-L19</f>
        <v>0</v>
      </c>
    </row>
    <row r="22" spans="2:14" ht="45" customHeight="1">
      <c r="B22" s="36" t="str">
        <f>_xlfn.IFNA(VLOOKUP($D$11,$K$53:$U$56,11, FALSE),"NABERS Rating type not defined")</f>
        <v>NABERS Rating type not defined</v>
      </c>
      <c r="C22" s="36" t="str">
        <f>_xlfn.IFNA(VLOOKUP($D$11,$K$53:$U$56,5, FALSE),"NABERS Rating type not defined")</f>
        <v>NABERS Rating type not defined</v>
      </c>
      <c r="D22" s="37"/>
      <c r="E22" s="47"/>
      <c r="J22" s="3"/>
      <c r="K22" s="143" t="s">
        <v>447</v>
      </c>
      <c r="L22" s="128">
        <f>365-ABS(L21)</f>
        <v>365</v>
      </c>
    </row>
    <row r="23" spans="2:14" ht="30" customHeight="1">
      <c r="F23" s="3"/>
      <c r="J23" s="3"/>
      <c r="K23" s="143" t="s">
        <v>451</v>
      </c>
      <c r="L23" s="3">
        <f>IF(L22&gt;=30,1,0)</f>
        <v>1</v>
      </c>
    </row>
    <row r="24" spans="2:14" ht="30" customHeight="1">
      <c r="B24" s="181" t="s">
        <v>866</v>
      </c>
      <c r="C24" s="181"/>
      <c r="D24" s="181"/>
      <c r="E24" s="181"/>
      <c r="J24" s="3"/>
    </row>
    <row r="25" spans="2:14" ht="30" customHeight="1">
      <c r="J25" s="3"/>
      <c r="K25" s="405" t="s">
        <v>521</v>
      </c>
      <c r="L25" s="405"/>
    </row>
    <row r="26" spans="2:14" ht="30" customHeight="1">
      <c r="B26" s="36" t="s">
        <v>729</v>
      </c>
      <c r="C26" s="36" t="s">
        <v>107</v>
      </c>
      <c r="D26" s="47"/>
      <c r="E26" s="47"/>
      <c r="J26" s="3"/>
      <c r="K26" s="128" t="s">
        <v>523</v>
      </c>
      <c r="L26" s="142">
        <f>D14</f>
        <v>0</v>
      </c>
    </row>
    <row r="27" spans="2:14" ht="30" customHeight="1">
      <c r="B27" s="398" t="s">
        <v>413</v>
      </c>
      <c r="C27" s="399"/>
      <c r="D27" s="88"/>
      <c r="E27" s="47"/>
      <c r="J27" s="3"/>
      <c r="K27" s="143" t="s">
        <v>524</v>
      </c>
      <c r="L27" s="128" t="str">
        <f>D57</f>
        <v>NO</v>
      </c>
    </row>
    <row r="28" spans="2:14" ht="30" customHeight="1">
      <c r="B28" s="403" t="s">
        <v>730</v>
      </c>
      <c r="C28" s="141" t="s">
        <v>731</v>
      </c>
      <c r="D28" s="124"/>
      <c r="E28" s="407" t="str">
        <f>IF(ISBLANK(D28),"",IF(L23=1,"","The rated period must be within three months of the Performance period"))</f>
        <v/>
      </c>
      <c r="J28" s="3"/>
      <c r="K28" s="143" t="s">
        <v>735</v>
      </c>
      <c r="L28" s="128" t="str">
        <f>IF(AND(L27="No",IF(ISNUMBER(MATCH(L26,N11:N13,0)),1,0)=1),"No","")</f>
        <v/>
      </c>
    </row>
    <row r="29" spans="2:14" ht="30" customHeight="1">
      <c r="B29" s="404"/>
      <c r="C29" s="141" t="s">
        <v>732</v>
      </c>
      <c r="D29" s="145">
        <f>DATE(YEAR(D28)+1,MONTH(D28),DAY(D28)-1)</f>
        <v>365</v>
      </c>
      <c r="E29" s="407"/>
      <c r="J29" s="3"/>
    </row>
    <row r="30" spans="2:14" ht="30" customHeight="1">
      <c r="B30" s="36" t="s">
        <v>733</v>
      </c>
      <c r="C30" s="36" t="s">
        <v>734</v>
      </c>
      <c r="D30" s="37"/>
      <c r="E30" s="47"/>
      <c r="J30" s="3"/>
    </row>
    <row r="31" spans="2:14" ht="30" customHeight="1">
      <c r="B31" s="36" t="str">
        <f>_xlfn.IFNA(VLOOKUP($D$11,$K$53:$U$56,7, FALSE),"NABERS Rating type not defined")</f>
        <v>NABERS Rating type not defined</v>
      </c>
      <c r="C31" s="36" t="str">
        <f>_xlfn.IFNA(VLOOKUP($D$11,$K$53:$U$56,8, FALSE),"NABERS Rating type not defined")</f>
        <v>NABERS Rating type not defined</v>
      </c>
      <c r="D31" s="37"/>
      <c r="E31" s="47"/>
      <c r="J31" s="3"/>
    </row>
    <row r="33" spans="2:21" ht="30" customHeight="1">
      <c r="B33" s="36" t="s">
        <v>736</v>
      </c>
      <c r="C33" s="36" t="s">
        <v>107</v>
      </c>
      <c r="D33" s="47"/>
      <c r="E33" s="47"/>
      <c r="J33" s="3"/>
    </row>
    <row r="34" spans="2:21" ht="30" customHeight="1">
      <c r="B34" s="36" t="s">
        <v>737</v>
      </c>
      <c r="C34" s="36" t="s">
        <v>130</v>
      </c>
      <c r="D34" s="37"/>
      <c r="E34" s="47"/>
      <c r="J34" s="3"/>
    </row>
    <row r="35" spans="2:21" ht="30" customHeight="1">
      <c r="B35" s="36" t="s">
        <v>738</v>
      </c>
      <c r="C35" s="36" t="s">
        <v>130</v>
      </c>
      <c r="D35" s="261"/>
      <c r="E35" s="47"/>
      <c r="J35" s="3"/>
    </row>
    <row r="36" spans="2:21" ht="30" customHeight="1">
      <c r="B36" s="36" t="s">
        <v>739</v>
      </c>
      <c r="C36" s="36" t="s">
        <v>130</v>
      </c>
      <c r="D36" s="37"/>
      <c r="E36" s="52">
        <f>D36/1000</f>
        <v>0</v>
      </c>
      <c r="J36" s="3"/>
    </row>
    <row r="37" spans="2:21" ht="30" customHeight="1">
      <c r="B37" s="36" t="s">
        <v>740</v>
      </c>
      <c r="C37" s="36" t="s">
        <v>130</v>
      </c>
      <c r="D37" s="37"/>
      <c r="E37" s="52">
        <f>(D37/1000)*38.6</f>
        <v>0</v>
      </c>
      <c r="J37" s="3"/>
    </row>
    <row r="38" spans="2:21" ht="30" customHeight="1">
      <c r="B38" s="36" t="s">
        <v>741</v>
      </c>
      <c r="C38" s="36" t="s">
        <v>130</v>
      </c>
      <c r="D38" s="37"/>
      <c r="E38" s="52"/>
      <c r="J38" s="3"/>
    </row>
    <row r="39" spans="2:21" ht="30" customHeight="1">
      <c r="B39" s="36" t="s">
        <v>742</v>
      </c>
      <c r="C39" s="36" t="s">
        <v>130</v>
      </c>
      <c r="D39" s="37"/>
      <c r="E39" s="52"/>
      <c r="J39" s="3"/>
    </row>
    <row r="40" spans="2:21" ht="30" customHeight="1">
      <c r="B40" s="36" t="s">
        <v>743</v>
      </c>
      <c r="C40" s="36" t="s">
        <v>744</v>
      </c>
      <c r="D40" s="37"/>
      <c r="E40" s="52"/>
      <c r="J40" s="3"/>
    </row>
    <row r="41" spans="2:21" ht="30" customHeight="1">
      <c r="B41" s="36" t="s">
        <v>745</v>
      </c>
      <c r="C41" s="36" t="s">
        <v>746</v>
      </c>
      <c r="D41" s="37"/>
      <c r="E41" s="52">
        <f>(D41/1000)*27</f>
        <v>0</v>
      </c>
      <c r="J41" s="3"/>
    </row>
    <row r="42" spans="2:21" ht="30" customHeight="1">
      <c r="E42" s="47"/>
      <c r="J42" s="3"/>
    </row>
    <row r="43" spans="2:21" ht="30" customHeight="1">
      <c r="B43" s="36" t="s">
        <v>747</v>
      </c>
      <c r="C43" s="36" t="s">
        <v>107</v>
      </c>
      <c r="D43" s="47"/>
      <c r="E43" s="47"/>
      <c r="J43" s="3"/>
    </row>
    <row r="44" spans="2:21" ht="30" customHeight="1">
      <c r="B44" s="36" t="s">
        <v>749</v>
      </c>
      <c r="C44" s="36" t="str">
        <f>_xlfn.IFNA(VLOOKUP($D$11,$K$53:$P$56,6, FALSE),"NABERS Rating type not defined")</f>
        <v>NABERS Rating type not defined</v>
      </c>
      <c r="D44" s="37"/>
      <c r="E44" s="47"/>
      <c r="J44" s="3"/>
    </row>
    <row r="45" spans="2:21" ht="30" customHeight="1">
      <c r="B45" s="36" t="s">
        <v>753</v>
      </c>
      <c r="C45" s="36" t="s">
        <v>754</v>
      </c>
      <c r="D45" s="48"/>
      <c r="E45" s="51" t="s">
        <v>755</v>
      </c>
      <c r="J45" s="3"/>
    </row>
    <row r="46" spans="2:21" ht="30" customHeight="1">
      <c r="B46" s="36" t="s">
        <v>762</v>
      </c>
      <c r="C46" s="36" t="s">
        <v>754</v>
      </c>
      <c r="D46" s="37"/>
      <c r="E46" s="47"/>
      <c r="J46" s="3"/>
      <c r="K46" s="422" t="s">
        <v>748</v>
      </c>
      <c r="L46" s="415"/>
      <c r="M46" s="415"/>
    </row>
    <row r="47" spans="2:21" ht="30" customHeight="1">
      <c r="B47" s="36" t="str">
        <f>IF(ISERROR(VLOOKUP($D$11,$K$48:$P$51,2, FALSE)), "NABERS Rating type not defined", VLOOKUP($D$11,$K$48:$P$51,2, FALSE))</f>
        <v>NABERS Rating type not defined</v>
      </c>
      <c r="C47" s="36" t="str">
        <f>_xlfn.IFNA(VLOOKUP($D$11,$K$53:$P$56,2, FALSE),"NABERS Rating type not defined")</f>
        <v>NABERS Rating type not defined</v>
      </c>
      <c r="D47" s="48"/>
      <c r="E47" s="424" t="s">
        <v>867</v>
      </c>
      <c r="J47" s="3"/>
      <c r="K47" s="162" t="s">
        <v>751</v>
      </c>
      <c r="L47" s="416" t="s">
        <v>752</v>
      </c>
      <c r="M47" s="417"/>
      <c r="N47" s="417"/>
      <c r="O47" s="418"/>
    </row>
    <row r="48" spans="2:21" ht="30" customHeight="1">
      <c r="B48" s="36" t="str">
        <f>IF(ISERROR(VLOOKUP($D$11,$K$48:$P$51,3, FALSE)), "NABERS Rating type not defined", VLOOKUP($D$11,$K$48:$P$51,3, FALSE))</f>
        <v>NABERS Rating type not defined</v>
      </c>
      <c r="C48" s="36" t="str">
        <f>_xlfn.IFNA(VLOOKUP($D$11,$K$53:$P$56,3, FALSE),"NABERS Rating type not defined")</f>
        <v>NABERS Rating type not defined</v>
      </c>
      <c r="D48" s="48"/>
      <c r="E48" s="424"/>
      <c r="J48" s="3"/>
      <c r="K48" s="155" t="s">
        <v>756</v>
      </c>
      <c r="L48" s="158" t="s">
        <v>757</v>
      </c>
      <c r="M48" s="158" t="s">
        <v>758</v>
      </c>
      <c r="N48" s="158" t="s">
        <v>759</v>
      </c>
      <c r="O48" s="158" t="s">
        <v>760</v>
      </c>
      <c r="Q48" s="156"/>
      <c r="R48" s="156"/>
      <c r="S48" s="156"/>
      <c r="T48" s="156"/>
      <c r="U48" s="156"/>
    </row>
    <row r="49" spans="2:21" ht="30" customHeight="1">
      <c r="B49" s="36" t="str">
        <f>IF(ISERROR(VLOOKUP($D$11,$K$48:$P$51,4, FALSE)), "NABERS Rating type not defined", VLOOKUP($D$11,$K$48:$P$51,4, FALSE))</f>
        <v>NABERS Rating type not defined</v>
      </c>
      <c r="C49" s="36" t="str">
        <f>_xlfn.IFNA(VLOOKUP($D$11,$K$53:$P$56,4, FALSE),"NABERS Rating type not defined")</f>
        <v>NABERS Rating type not defined</v>
      </c>
      <c r="D49" s="48"/>
      <c r="E49" s="424"/>
      <c r="J49" s="3"/>
      <c r="K49" s="155" t="s">
        <v>763</v>
      </c>
      <c r="L49" s="158" t="s">
        <v>757</v>
      </c>
      <c r="M49" s="158" t="s">
        <v>758</v>
      </c>
      <c r="N49" s="158" t="s">
        <v>759</v>
      </c>
      <c r="O49" s="158" t="s">
        <v>760</v>
      </c>
      <c r="Q49" s="156"/>
      <c r="R49" s="156"/>
      <c r="S49" s="156"/>
      <c r="T49" s="156"/>
      <c r="U49" s="156"/>
    </row>
    <row r="50" spans="2:21" ht="30" customHeight="1">
      <c r="B50" s="36" t="str">
        <f>IF(ISERROR(VLOOKUP($D$11,$K$48:$P$51,5, FALSE)), "NABERS Rating type not defined", VLOOKUP($D$11,$K$48:$P$51,5, FALSE))</f>
        <v>NABERS Rating type not defined</v>
      </c>
      <c r="C50" s="36" t="str">
        <f>_xlfn.IFNA(VLOOKUP($D$11,$K$53:$P$56,5, FALSE),"NABERS Rating type not defined")</f>
        <v>NABERS Rating type not defined</v>
      </c>
      <c r="D50" s="48"/>
      <c r="E50" s="424"/>
      <c r="J50" s="3"/>
      <c r="K50" s="155" t="s">
        <v>764</v>
      </c>
      <c r="L50" s="158" t="s">
        <v>757</v>
      </c>
      <c r="M50" s="182" t="s">
        <v>765</v>
      </c>
      <c r="N50" s="182" t="s">
        <v>766</v>
      </c>
      <c r="O50" s="158" t="s">
        <v>760</v>
      </c>
      <c r="P50" s="156"/>
      <c r="Q50" s="156"/>
      <c r="R50" s="156"/>
      <c r="S50" s="156"/>
      <c r="T50" s="156"/>
      <c r="U50" s="156"/>
    </row>
    <row r="51" spans="2:21" ht="30" customHeight="1">
      <c r="B51" s="47"/>
      <c r="C51" s="47"/>
      <c r="D51" s="66"/>
      <c r="E51" s="47"/>
      <c r="J51" s="3"/>
      <c r="K51" s="155" t="s">
        <v>769</v>
      </c>
      <c r="L51" s="158" t="s">
        <v>757</v>
      </c>
      <c r="M51" s="182" t="s">
        <v>765</v>
      </c>
      <c r="N51" s="182" t="s">
        <v>766</v>
      </c>
      <c r="O51" s="182" t="s">
        <v>760</v>
      </c>
      <c r="P51" s="157"/>
      <c r="Q51" s="156"/>
      <c r="R51" s="156"/>
      <c r="S51" s="156"/>
      <c r="T51" s="156"/>
      <c r="U51" s="156"/>
    </row>
    <row r="52" spans="2:21" ht="30" customHeight="1">
      <c r="B52" s="67" t="s">
        <v>868</v>
      </c>
      <c r="C52" s="67" t="str">
        <f>_xlfn.IFNA(VLOOKUP($D$11,$K$53:$U$56,5, FALSE),"NABERS Rating type not defined")</f>
        <v>NABERS Rating type not defined</v>
      </c>
      <c r="D52" s="39">
        <f>D22</f>
        <v>0</v>
      </c>
      <c r="E52" s="47"/>
      <c r="J52" s="3"/>
      <c r="K52" s="156" t="s">
        <v>507</v>
      </c>
      <c r="L52" s="423" t="s">
        <v>752</v>
      </c>
      <c r="M52" s="423"/>
      <c r="N52" s="423"/>
      <c r="O52" s="423"/>
      <c r="P52" s="423"/>
      <c r="Q52" s="423"/>
      <c r="R52" s="423"/>
      <c r="S52" s="423"/>
      <c r="T52" s="423"/>
      <c r="U52" s="423"/>
    </row>
    <row r="53" spans="2:21" ht="30" customHeight="1">
      <c r="B53" s="67" t="s">
        <v>869</v>
      </c>
      <c r="C53" s="67" t="str">
        <f>_xlfn.IFNA(VLOOKUP($D$11,$K$53:$U$56,5, FALSE),"NABERS Rating type not defined")</f>
        <v>NABERS Rating type not defined</v>
      </c>
      <c r="D53" s="39">
        <f>D50</f>
        <v>0</v>
      </c>
      <c r="E53" s="47"/>
      <c r="J53" s="3"/>
      <c r="K53" s="155" t="s">
        <v>756</v>
      </c>
      <c r="L53" s="158" t="s">
        <v>771</v>
      </c>
      <c r="M53" s="158" t="s">
        <v>771</v>
      </c>
      <c r="N53" s="158" t="s">
        <v>772</v>
      </c>
      <c r="O53" s="158" t="s">
        <v>772</v>
      </c>
      <c r="P53" s="158" t="s">
        <v>775</v>
      </c>
      <c r="Q53" s="158" t="s">
        <v>561</v>
      </c>
      <c r="R53" s="158" t="s">
        <v>563</v>
      </c>
      <c r="S53" s="158" t="s">
        <v>586</v>
      </c>
      <c r="T53" s="158" t="s">
        <v>588</v>
      </c>
      <c r="U53" s="158" t="s">
        <v>870</v>
      </c>
    </row>
    <row r="54" spans="2:21" ht="30" customHeight="1">
      <c r="B54" s="67" t="s">
        <v>871</v>
      </c>
      <c r="C54" s="67" t="s">
        <v>872</v>
      </c>
      <c r="D54" s="68">
        <f>MAX(0,IFERROR((D52-D53)/D52,0))</f>
        <v>0</v>
      </c>
      <c r="E54" s="47"/>
      <c r="J54" s="3"/>
      <c r="K54" s="155" t="s">
        <v>763</v>
      </c>
      <c r="L54" s="158" t="s">
        <v>771</v>
      </c>
      <c r="M54" s="158" t="s">
        <v>771</v>
      </c>
      <c r="N54" s="158" t="s">
        <v>772</v>
      </c>
      <c r="O54" s="158" t="s">
        <v>772</v>
      </c>
      <c r="P54" s="158" t="s">
        <v>775</v>
      </c>
      <c r="Q54" s="158" t="s">
        <v>561</v>
      </c>
      <c r="R54" s="158" t="s">
        <v>563</v>
      </c>
      <c r="S54" s="158" t="s">
        <v>586</v>
      </c>
      <c r="T54" s="158" t="s">
        <v>588</v>
      </c>
      <c r="U54" s="158" t="s">
        <v>870</v>
      </c>
    </row>
    <row r="55" spans="2:21" ht="30" customHeight="1">
      <c r="B55" s="47"/>
      <c r="C55" s="47"/>
      <c r="D55" s="66"/>
      <c r="E55" s="47"/>
      <c r="J55" s="3"/>
      <c r="K55" s="155" t="s">
        <v>764</v>
      </c>
      <c r="L55" s="158" t="s">
        <v>775</v>
      </c>
      <c r="M55" s="158" t="s">
        <v>771</v>
      </c>
      <c r="N55" s="158" t="s">
        <v>772</v>
      </c>
      <c r="O55" s="158" t="s">
        <v>772</v>
      </c>
      <c r="P55" s="158" t="s">
        <v>775</v>
      </c>
      <c r="Q55" s="158" t="s">
        <v>561</v>
      </c>
      <c r="R55" s="158" t="s">
        <v>563</v>
      </c>
      <c r="S55" s="158" t="s">
        <v>586</v>
      </c>
      <c r="T55" s="158" t="s">
        <v>588</v>
      </c>
      <c r="U55" s="158" t="s">
        <v>870</v>
      </c>
    </row>
    <row r="56" spans="2:21" ht="30" customHeight="1">
      <c r="B56" s="47"/>
      <c r="C56" s="47"/>
      <c r="D56" s="39" t="s">
        <v>774</v>
      </c>
      <c r="E56" s="47"/>
      <c r="J56" s="3"/>
      <c r="K56" s="155" t="s">
        <v>769</v>
      </c>
      <c r="L56" s="158" t="s">
        <v>776</v>
      </c>
      <c r="M56" s="158" t="s">
        <v>771</v>
      </c>
      <c r="N56" s="158" t="s">
        <v>777</v>
      </c>
      <c r="O56" s="158" t="s">
        <v>777</v>
      </c>
      <c r="P56" s="158" t="s">
        <v>776</v>
      </c>
      <c r="Q56" s="158" t="s">
        <v>606</v>
      </c>
      <c r="R56" s="158" t="s">
        <v>575</v>
      </c>
      <c r="S56" s="158" t="s">
        <v>609</v>
      </c>
      <c r="T56" s="158" t="s">
        <v>575</v>
      </c>
      <c r="U56" s="158" t="s">
        <v>870</v>
      </c>
    </row>
    <row r="57" spans="2:21" ht="30" customHeight="1">
      <c r="B57" s="412" t="s">
        <v>524</v>
      </c>
      <c r="C57" s="412"/>
      <c r="D57" s="39" t="str">
        <f>IF(D45&gt;=4,"YES","NO")</f>
        <v>NO</v>
      </c>
      <c r="J57" s="3"/>
    </row>
    <row r="58" spans="2:21" ht="30" customHeight="1">
      <c r="B58" s="412" t="s">
        <v>778</v>
      </c>
      <c r="C58" s="412"/>
      <c r="D58" s="153" t="str">
        <f>IF(OR(D14="Please Select",D14=""),"Please select the Green Star Rating targeted",IF(D11=K54,VLOOKUP(D54,'Points Table'!B13:C36,2,TRUE),IF(D11=K53,VLOOKUP(D54,'Points Table'!E13:F33,2,TRUE),IF(D11=K55,VLOOKUP(D54,'Points Table'!E13:F33,2,TRUE),IF(D11=K56,VLOOKUP(D54,'Points Table'!B13:C36,2,TRUE),"Rating Type Not Defined")))))</f>
        <v>Please select the Green Star Rating targeted</v>
      </c>
      <c r="E58" s="47" t="str">
        <f>IF(L28="No","Conditional Requirement not met for the Green Star Rating targeted","")</f>
        <v/>
      </c>
      <c r="J58" s="3"/>
    </row>
    <row r="59" spans="2:21" ht="12.75" customHeight="1">
      <c r="J59" s="3"/>
    </row>
    <row r="60" spans="2:21" ht="30" customHeight="1">
      <c r="B60" s="183" t="s">
        <v>873</v>
      </c>
      <c r="C60" s="181"/>
      <c r="D60" s="181"/>
      <c r="E60" s="181"/>
      <c r="J60" s="3"/>
    </row>
    <row r="61" spans="2:21" ht="13.15">
      <c r="E61" s="3"/>
      <c r="J61" s="3"/>
    </row>
    <row r="62" spans="2:21" ht="30" customHeight="1">
      <c r="B62" s="179" t="s">
        <v>646</v>
      </c>
      <c r="C62" s="203"/>
      <c r="D62" s="202"/>
      <c r="E62" s="3"/>
      <c r="J62" s="3"/>
    </row>
    <row r="63" spans="2:21" ht="13.15">
      <c r="E63" s="3"/>
      <c r="J63" s="3"/>
    </row>
    <row r="64" spans="2:21" ht="30" customHeight="1">
      <c r="D64" s="36" t="s">
        <v>788</v>
      </c>
      <c r="E64" s="47"/>
      <c r="J64" s="3"/>
    </row>
    <row r="65" spans="2:5" ht="30" customHeight="1">
      <c r="B65" s="400" t="s">
        <v>789</v>
      </c>
      <c r="C65" s="400"/>
      <c r="D65" s="198"/>
      <c r="E65" s="51" t="s">
        <v>790</v>
      </c>
    </row>
    <row r="66" spans="2:5" ht="30" customHeight="1">
      <c r="B66" s="400" t="s">
        <v>791</v>
      </c>
      <c r="C66" s="400"/>
      <c r="D66" s="199"/>
      <c r="E66" s="47"/>
    </row>
    <row r="67" spans="2:5" ht="30" customHeight="1">
      <c r="B67" s="400" t="s">
        <v>792</v>
      </c>
      <c r="C67" s="400"/>
      <c r="D67" s="200"/>
      <c r="E67" s="47"/>
    </row>
    <row r="68" spans="2:5" ht="30" customHeight="1">
      <c r="B68" s="400" t="s">
        <v>794</v>
      </c>
      <c r="C68" s="400"/>
      <c r="D68" s="200"/>
      <c r="E68" s="47"/>
    </row>
    <row r="69" spans="2:5" ht="30" customHeight="1">
      <c r="B69" s="400" t="s">
        <v>796</v>
      </c>
      <c r="C69" s="400"/>
      <c r="D69" s="200"/>
      <c r="E69" s="47"/>
    </row>
    <row r="70" spans="2:5" ht="30" customHeight="1">
      <c r="B70" s="400" t="str">
        <f>IF(D65="NABERS Energy Tenancy Rating","NABERS Energy Tenancy rating greenhouse gas emissions performance (kgCO2/m2 p.a.)",IF(D65="Tenant Collaboration","Tenant greenhouse gas emissions performance (kgCO2/m2 p.a.)", "Greenhouse Gas Emissions"))</f>
        <v>Greenhouse Gas Emissions</v>
      </c>
      <c r="C70" s="400"/>
      <c r="D70" s="201"/>
      <c r="E70" s="47"/>
    </row>
    <row r="71" spans="2:5" ht="30" customHeight="1">
      <c r="D71" s="36" t="s">
        <v>798</v>
      </c>
      <c r="E71" s="47"/>
    </row>
    <row r="72" spans="2:5" ht="30" customHeight="1">
      <c r="B72" s="400" t="s">
        <v>789</v>
      </c>
      <c r="C72" s="400"/>
      <c r="D72" s="198"/>
      <c r="E72" s="51" t="s">
        <v>790</v>
      </c>
    </row>
    <row r="73" spans="2:5" ht="30" customHeight="1">
      <c r="B73" s="400" t="s">
        <v>791</v>
      </c>
      <c r="C73" s="400"/>
      <c r="D73" s="199"/>
      <c r="E73" s="47"/>
    </row>
    <row r="74" spans="2:5" ht="30" customHeight="1">
      <c r="B74" s="400" t="s">
        <v>792</v>
      </c>
      <c r="C74" s="400"/>
      <c r="D74" s="200"/>
      <c r="E74" s="47"/>
    </row>
    <row r="75" spans="2:5" ht="30" customHeight="1">
      <c r="B75" s="400" t="s">
        <v>794</v>
      </c>
      <c r="C75" s="400"/>
      <c r="D75" s="200"/>
      <c r="E75" s="47"/>
    </row>
    <row r="76" spans="2:5" ht="30" customHeight="1">
      <c r="B76" s="400" t="s">
        <v>796</v>
      </c>
      <c r="C76" s="400"/>
      <c r="D76" s="200"/>
      <c r="E76" s="47"/>
    </row>
    <row r="77" spans="2:5" ht="30" customHeight="1">
      <c r="B77" s="400" t="str">
        <f>IF(D72="NABERS Energy Tenancy Rating","NABERS Energy Tenancy rating greenhouse gas emissions performance (kgCO2/m2 p.a.)",IF(D72="Tenant Collaboration","Tenant greenhouse gas emissions performance (kgCO2/m2 p.a.)", "Greenhouse Gas Emissions"))</f>
        <v>Greenhouse Gas Emissions</v>
      </c>
      <c r="C77" s="400"/>
      <c r="D77" s="201"/>
      <c r="E77" s="47"/>
    </row>
    <row r="78" spans="2:5" ht="30" customHeight="1">
      <c r="D78" s="36" t="s">
        <v>800</v>
      </c>
      <c r="E78" s="47"/>
    </row>
    <row r="79" spans="2:5" ht="30" customHeight="1">
      <c r="B79" s="400" t="s">
        <v>789</v>
      </c>
      <c r="C79" s="400"/>
      <c r="D79" s="198"/>
      <c r="E79" s="51" t="s">
        <v>790</v>
      </c>
    </row>
    <row r="80" spans="2:5" ht="30" customHeight="1">
      <c r="B80" s="400" t="s">
        <v>791</v>
      </c>
      <c r="C80" s="400"/>
      <c r="D80" s="199"/>
      <c r="E80" s="47"/>
    </row>
    <row r="81" spans="2:5" ht="30" customHeight="1">
      <c r="B81" s="400" t="s">
        <v>792</v>
      </c>
      <c r="C81" s="400"/>
      <c r="D81" s="200"/>
      <c r="E81" s="47"/>
    </row>
    <row r="82" spans="2:5" ht="30" customHeight="1">
      <c r="B82" s="400" t="s">
        <v>794</v>
      </c>
      <c r="C82" s="400"/>
      <c r="D82" s="200"/>
      <c r="E82" s="47"/>
    </row>
    <row r="83" spans="2:5" ht="30" customHeight="1">
      <c r="B83" s="400" t="s">
        <v>796</v>
      </c>
      <c r="C83" s="400"/>
      <c r="D83" s="200"/>
      <c r="E83" s="47"/>
    </row>
    <row r="84" spans="2:5" ht="30" customHeight="1">
      <c r="B84" s="400" t="str">
        <f>IF(D79="NABERS Energy Tenancy Rating","NABERS Energy Tenancy rating greenhouse gas emissions performance (kgCO2/m2 p.a.)",IF(D79="Tenant Collaboration","Tenant greenhouse gas emissions performance (kgCO2/m2 p.a.)", "Greenhouse Gas Emissions"))</f>
        <v>Greenhouse Gas Emissions</v>
      </c>
      <c r="C84" s="400"/>
      <c r="D84" s="201"/>
      <c r="E84" s="47"/>
    </row>
    <row r="85" spans="2:5" ht="30" customHeight="1">
      <c r="D85" s="36" t="s">
        <v>801</v>
      </c>
      <c r="E85" s="47"/>
    </row>
    <row r="86" spans="2:5" ht="30" customHeight="1">
      <c r="B86" s="400" t="s">
        <v>789</v>
      </c>
      <c r="C86" s="400"/>
      <c r="D86" s="198"/>
      <c r="E86" s="51" t="s">
        <v>790</v>
      </c>
    </row>
    <row r="87" spans="2:5" ht="30" customHeight="1">
      <c r="B87" s="400" t="s">
        <v>791</v>
      </c>
      <c r="C87" s="400"/>
      <c r="D87" s="199"/>
      <c r="E87" s="47"/>
    </row>
    <row r="88" spans="2:5" ht="30" customHeight="1">
      <c r="B88" s="400" t="s">
        <v>792</v>
      </c>
      <c r="C88" s="400"/>
      <c r="D88" s="200"/>
      <c r="E88" s="47"/>
    </row>
    <row r="89" spans="2:5" ht="30" customHeight="1">
      <c r="B89" s="400" t="s">
        <v>794</v>
      </c>
      <c r="C89" s="400"/>
      <c r="D89" s="200"/>
      <c r="E89" s="47"/>
    </row>
    <row r="90" spans="2:5" ht="30" customHeight="1">
      <c r="B90" s="400" t="s">
        <v>796</v>
      </c>
      <c r="C90" s="400"/>
      <c r="D90" s="200"/>
      <c r="E90" s="47"/>
    </row>
    <row r="91" spans="2:5" ht="30" customHeight="1">
      <c r="B91" s="400" t="str">
        <f>IF(D86="NABERS Energy Tenancy Rating","NABERS Energy Tenancy rating greenhouse gas emissions performance (kgCO2/m2 p.a.)",IF(D86="Tenant Collaboration","Tenant greenhouse gas emissions performance (kgCO2/m2 p.a.)", "Greenhouse Gas Emissions"))</f>
        <v>Greenhouse Gas Emissions</v>
      </c>
      <c r="C91" s="400"/>
      <c r="D91" s="201"/>
      <c r="E91" s="47"/>
    </row>
    <row r="92" spans="2:5" ht="30" customHeight="1">
      <c r="D92" s="36" t="s">
        <v>802</v>
      </c>
      <c r="E92" s="47"/>
    </row>
    <row r="93" spans="2:5" ht="30" customHeight="1">
      <c r="B93" s="400" t="s">
        <v>789</v>
      </c>
      <c r="C93" s="400"/>
      <c r="D93" s="198"/>
      <c r="E93" s="51" t="s">
        <v>790</v>
      </c>
    </row>
    <row r="94" spans="2:5" ht="30" customHeight="1">
      <c r="B94" s="400" t="s">
        <v>791</v>
      </c>
      <c r="C94" s="400"/>
      <c r="D94" s="199"/>
      <c r="E94" s="47"/>
    </row>
    <row r="95" spans="2:5" ht="30" customHeight="1">
      <c r="B95" s="400" t="s">
        <v>792</v>
      </c>
      <c r="C95" s="400"/>
      <c r="D95" s="200"/>
      <c r="E95" s="47"/>
    </row>
    <row r="96" spans="2:5" ht="30" customHeight="1">
      <c r="B96" s="400" t="s">
        <v>794</v>
      </c>
      <c r="C96" s="400"/>
      <c r="D96" s="200"/>
      <c r="E96" s="47"/>
    </row>
    <row r="97" spans="2:5" ht="30" customHeight="1">
      <c r="B97" s="400" t="s">
        <v>796</v>
      </c>
      <c r="C97" s="400"/>
      <c r="D97" s="200"/>
      <c r="E97" s="47"/>
    </row>
    <row r="98" spans="2:5" ht="30" customHeight="1">
      <c r="B98" s="400" t="str">
        <f>IF(D93="NABERS Energy Tenancy Rating","NABERS Energy Tenancy rating greenhouse gas emissions performance (kgCO2/m2 p.a.)",IF(D93="Tenant Collaboration","Tenant greenhouse gas emissions performance (kgCO2/m2 p.a.)", "Greenhouse Gas Emissions"))</f>
        <v>Greenhouse Gas Emissions</v>
      </c>
      <c r="C98" s="400"/>
      <c r="D98" s="201"/>
      <c r="E98" s="47"/>
    </row>
    <row r="99" spans="2:5" ht="30" customHeight="1">
      <c r="B99" s="69"/>
      <c r="C99" s="69"/>
      <c r="D99" s="70"/>
      <c r="E99" s="47"/>
    </row>
    <row r="100" spans="2:5" ht="30" customHeight="1">
      <c r="B100" s="398" t="s">
        <v>803</v>
      </c>
      <c r="C100" s="414"/>
      <c r="D100" s="262">
        <f>SUM(D67,D74,D81,D88,D95)</f>
        <v>0</v>
      </c>
      <c r="E100" s="3"/>
    </row>
    <row r="101" spans="2:5" ht="30" customHeight="1">
      <c r="B101" s="398" t="s">
        <v>804</v>
      </c>
      <c r="C101" s="414"/>
      <c r="D101" s="263">
        <f>IFERROR(D100/D62,0)</f>
        <v>0</v>
      </c>
      <c r="E101" s="3"/>
    </row>
    <row r="102" spans="2:5" ht="30" customHeight="1">
      <c r="B102" s="412" t="s">
        <v>805</v>
      </c>
      <c r="C102" s="412"/>
      <c r="D102" s="74" t="s">
        <v>774</v>
      </c>
      <c r="E102" s="3"/>
    </row>
    <row r="103" spans="2:5" ht="30" customHeight="1">
      <c r="B103" s="413" t="s">
        <v>806</v>
      </c>
      <c r="C103" s="413"/>
      <c r="D103" s="40">
        <f>IF(D11='AGO Emission Factors'!G8, "Not Applicable",VLOOKUP(D101,'Points Table'!E38:F41,2,TRUE))</f>
        <v>0</v>
      </c>
      <c r="E103" s="3"/>
    </row>
    <row r="104" spans="2:5" ht="20.100000000000001" customHeight="1">
      <c r="B104" s="3" t="s">
        <v>874</v>
      </c>
      <c r="E104" s="3"/>
    </row>
    <row r="105" spans="2:5" ht="20.100000000000001" customHeight="1">
      <c r="E105" s="3"/>
    </row>
    <row r="106" spans="2:5" ht="30" customHeight="1">
      <c r="B106" s="412" t="s">
        <v>808</v>
      </c>
      <c r="C106" s="412"/>
      <c r="D106" s="40">
        <f>SUM(D58,D103)</f>
        <v>0</v>
      </c>
      <c r="E106" s="3"/>
    </row>
    <row r="107" spans="2:5" ht="13.15">
      <c r="E107" s="3"/>
    </row>
    <row r="112" spans="2:5" ht="12.75" hidden="1" customHeight="1">
      <c r="B112" s="181" t="s">
        <v>875</v>
      </c>
      <c r="C112" s="181"/>
      <c r="D112" s="181"/>
      <c r="E112" s="181"/>
    </row>
    <row r="114" spans="2:9" ht="12.75" hidden="1" customHeight="1" thickBot="1">
      <c r="B114" s="89" t="s">
        <v>810</v>
      </c>
      <c r="C114" s="90"/>
      <c r="E114" s="89" t="s">
        <v>811</v>
      </c>
      <c r="F114" s="91"/>
      <c r="G114" s="92"/>
      <c r="H114" s="92"/>
      <c r="I114" s="93"/>
    </row>
    <row r="115" spans="2:9" ht="12.75" hidden="1" customHeight="1">
      <c r="B115" s="89" t="s">
        <v>812</v>
      </c>
      <c r="C115" s="94" t="s">
        <v>130</v>
      </c>
      <c r="E115" s="95" t="s">
        <v>813</v>
      </c>
      <c r="F115" s="96"/>
      <c r="G115" s="97"/>
      <c r="H115" s="97"/>
      <c r="I115" s="98"/>
    </row>
    <row r="116" spans="2:9" ht="12.75" hidden="1" customHeight="1" thickBot="1">
      <c r="B116" s="89" t="s">
        <v>814</v>
      </c>
      <c r="C116" s="99">
        <v>3.5999999999999999E-3</v>
      </c>
      <c r="D116" s="185"/>
      <c r="E116" s="100"/>
      <c r="F116" s="101"/>
      <c r="G116" s="102"/>
      <c r="H116" s="102"/>
      <c r="I116" s="103"/>
    </row>
    <row r="117" spans="2:9" ht="12.75" hidden="1" customHeight="1">
      <c r="E117" s="3"/>
      <c r="F117" s="3"/>
      <c r="G117" s="3"/>
      <c r="H117" s="3"/>
      <c r="I117" s="3"/>
    </row>
    <row r="118" spans="2:9" ht="12.75" hidden="1" customHeight="1">
      <c r="E118" s="3"/>
      <c r="F118" s="3"/>
      <c r="G118" s="3"/>
      <c r="H118" s="3"/>
      <c r="I118" s="3"/>
    </row>
    <row r="119" spans="2:9" ht="40.15" hidden="1" thickBot="1">
      <c r="B119" s="104" t="s">
        <v>815</v>
      </c>
      <c r="C119" s="104" t="s">
        <v>816</v>
      </c>
      <c r="D119" s="104" t="s">
        <v>817</v>
      </c>
      <c r="E119" s="104" t="s">
        <v>818</v>
      </c>
      <c r="F119" s="104" t="s">
        <v>819</v>
      </c>
      <c r="G119" s="105" t="s">
        <v>820</v>
      </c>
      <c r="H119" s="105" t="s">
        <v>821</v>
      </c>
      <c r="I119" s="105" t="s">
        <v>822</v>
      </c>
    </row>
    <row r="120" spans="2:9" ht="12.75" hidden="1" customHeight="1">
      <c r="B120" s="106"/>
      <c r="C120" s="107"/>
      <c r="D120" s="108"/>
      <c r="E120" s="108"/>
      <c r="F120" s="109"/>
      <c r="G120" s="110" t="str">
        <f t="shared" ref="G120" si="0">IF(ISBLANK(D120),"",E120-D120+1)</f>
        <v/>
      </c>
      <c r="H120" s="111">
        <f>IF(OR($D$12-E120&gt;=0,D120-$D$13&gt;=0),0,IF(AND($D$12-D120&gt;0,$D$13-E120&gt;=0),E120-$D$12+1,IF(AND($D$12-D120&gt;0,$D$13-E120&lt;0),$D$13-$D$12+1,IF($D$13-E120&gt;=0,E120-D120+1,$D$13-$D$12+1))))</f>
        <v>0</v>
      </c>
      <c r="I120" s="111" t="str">
        <f>IFERROR(F120/G120*H120,"")</f>
        <v/>
      </c>
    </row>
    <row r="121" spans="2:9" ht="12.75" hidden="1" customHeight="1">
      <c r="B121" s="112"/>
      <c r="C121" s="113"/>
      <c r="D121" s="114"/>
      <c r="E121" s="114"/>
      <c r="F121" s="115"/>
      <c r="G121" s="110" t="str">
        <f t="shared" ref="G121:G131" si="1">IF(ISBLANK(D121),"",E121-D121+1)</f>
        <v/>
      </c>
      <c r="H121" s="111">
        <f t="shared" ref="H121:H131" si="2">IF(OR($D$12-E121&gt;=0,D121-$D$13&gt;=0),0,IF(AND($D$12-D121&gt;0,$D$13-E121&gt;=0),E121-$D$12+1,IF(AND($D$12-D121&gt;0,$D$13-E121&lt;0),$D$13-$D$12+1,IF($D$13-E121&gt;=0,E121-D121+1,$D$13-$D$12+1))))</f>
        <v>0</v>
      </c>
      <c r="I121" s="111" t="str">
        <f t="shared" ref="I121:I131" si="3">IFERROR(F121/G121*H121,"")</f>
        <v/>
      </c>
    </row>
    <row r="122" spans="2:9" ht="12.75" hidden="1" customHeight="1">
      <c r="B122" s="112"/>
      <c r="C122" s="113"/>
      <c r="D122" s="114"/>
      <c r="E122" s="114"/>
      <c r="F122" s="115"/>
      <c r="G122" s="110" t="str">
        <f t="shared" si="1"/>
        <v/>
      </c>
      <c r="H122" s="111">
        <f t="shared" si="2"/>
        <v>0</v>
      </c>
      <c r="I122" s="111" t="str">
        <f t="shared" si="3"/>
        <v/>
      </c>
    </row>
    <row r="123" spans="2:9" ht="12.75" hidden="1" customHeight="1">
      <c r="B123" s="112"/>
      <c r="C123" s="113"/>
      <c r="D123" s="114"/>
      <c r="E123" s="114"/>
      <c r="F123" s="115"/>
      <c r="G123" s="110" t="str">
        <f t="shared" si="1"/>
        <v/>
      </c>
      <c r="H123" s="111">
        <f t="shared" si="2"/>
        <v>0</v>
      </c>
      <c r="I123" s="111" t="str">
        <f t="shared" si="3"/>
        <v/>
      </c>
    </row>
    <row r="124" spans="2:9" ht="12.75" hidden="1" customHeight="1">
      <c r="B124" s="112"/>
      <c r="C124" s="113"/>
      <c r="D124" s="114"/>
      <c r="E124" s="114"/>
      <c r="F124" s="115"/>
      <c r="G124" s="110" t="str">
        <f t="shared" si="1"/>
        <v/>
      </c>
      <c r="H124" s="111">
        <f t="shared" si="2"/>
        <v>0</v>
      </c>
      <c r="I124" s="111" t="str">
        <f t="shared" si="3"/>
        <v/>
      </c>
    </row>
    <row r="125" spans="2:9" ht="12.75" hidden="1" customHeight="1">
      <c r="B125" s="112"/>
      <c r="C125" s="113"/>
      <c r="D125" s="114"/>
      <c r="E125" s="114"/>
      <c r="F125" s="115"/>
      <c r="G125" s="110" t="str">
        <f t="shared" si="1"/>
        <v/>
      </c>
      <c r="H125" s="111">
        <f t="shared" si="2"/>
        <v>0</v>
      </c>
      <c r="I125" s="111" t="str">
        <f t="shared" si="3"/>
        <v/>
      </c>
    </row>
    <row r="126" spans="2:9" ht="12.75" hidden="1" customHeight="1">
      <c r="B126" s="112"/>
      <c r="C126" s="113"/>
      <c r="D126" s="114"/>
      <c r="E126" s="114"/>
      <c r="F126" s="115"/>
      <c r="G126" s="110" t="str">
        <f t="shared" si="1"/>
        <v/>
      </c>
      <c r="H126" s="111">
        <f t="shared" si="2"/>
        <v>0</v>
      </c>
      <c r="I126" s="111" t="str">
        <f t="shared" si="3"/>
        <v/>
      </c>
    </row>
    <row r="127" spans="2:9" ht="12.75" hidden="1" customHeight="1">
      <c r="B127" s="112"/>
      <c r="C127" s="113"/>
      <c r="D127" s="114"/>
      <c r="E127" s="114"/>
      <c r="F127" s="115"/>
      <c r="G127" s="110" t="str">
        <f t="shared" si="1"/>
        <v/>
      </c>
      <c r="H127" s="111">
        <f t="shared" si="2"/>
        <v>0</v>
      </c>
      <c r="I127" s="111" t="str">
        <f t="shared" si="3"/>
        <v/>
      </c>
    </row>
    <row r="128" spans="2:9" ht="12.75" hidden="1" customHeight="1">
      <c r="B128" s="112"/>
      <c r="C128" s="113"/>
      <c r="D128" s="114"/>
      <c r="E128" s="114"/>
      <c r="F128" s="115"/>
      <c r="G128" s="110" t="str">
        <f t="shared" si="1"/>
        <v/>
      </c>
      <c r="H128" s="111">
        <f t="shared" si="2"/>
        <v>0</v>
      </c>
      <c r="I128" s="111" t="str">
        <f t="shared" si="3"/>
        <v/>
      </c>
    </row>
    <row r="129" spans="2:23" ht="12.75" hidden="1" customHeight="1">
      <c r="B129" s="112"/>
      <c r="C129" s="113"/>
      <c r="D129" s="114"/>
      <c r="E129" s="114"/>
      <c r="F129" s="115"/>
      <c r="G129" s="110" t="str">
        <f t="shared" si="1"/>
        <v/>
      </c>
      <c r="H129" s="111">
        <f t="shared" si="2"/>
        <v>0</v>
      </c>
      <c r="I129" s="111" t="str">
        <f t="shared" si="3"/>
        <v/>
      </c>
    </row>
    <row r="130" spans="2:23" ht="12.75" hidden="1" customHeight="1">
      <c r="B130" s="112"/>
      <c r="C130" s="113"/>
      <c r="D130" s="114"/>
      <c r="E130" s="114"/>
      <c r="F130" s="115"/>
      <c r="G130" s="110" t="str">
        <f t="shared" si="1"/>
        <v/>
      </c>
      <c r="H130" s="111">
        <f t="shared" si="2"/>
        <v>0</v>
      </c>
      <c r="I130" s="111" t="str">
        <f t="shared" si="3"/>
        <v/>
      </c>
    </row>
    <row r="131" spans="2:23" ht="12.75" hidden="1" customHeight="1" thickBot="1">
      <c r="B131" s="116"/>
      <c r="C131" s="117"/>
      <c r="D131" s="118"/>
      <c r="E131" s="118"/>
      <c r="F131" s="119"/>
      <c r="G131" s="110" t="str">
        <f t="shared" si="1"/>
        <v/>
      </c>
      <c r="H131" s="111">
        <f t="shared" si="2"/>
        <v>0</v>
      </c>
      <c r="I131" s="111" t="str">
        <f t="shared" si="3"/>
        <v/>
      </c>
    </row>
    <row r="132" spans="2:23" ht="12.75" hidden="1" customHeight="1">
      <c r="H132" s="105" t="s">
        <v>823</v>
      </c>
      <c r="I132" s="111">
        <f>SUM(I120:I131)</f>
        <v>0</v>
      </c>
    </row>
    <row r="133" spans="2:23" ht="12.75" hidden="1" customHeight="1"/>
    <row r="134" spans="2:23" ht="12.75" hidden="1" customHeight="1"/>
    <row r="135" spans="2:23" ht="12.75" hidden="1" customHeight="1">
      <c r="B135" s="398" t="s">
        <v>824</v>
      </c>
      <c r="C135" s="399"/>
      <c r="D135" s="186">
        <f>D44*D31/1000</f>
        <v>0</v>
      </c>
    </row>
    <row r="136" spans="2:23" ht="12.75" hidden="1" customHeight="1">
      <c r="B136" s="398" t="s">
        <v>825</v>
      </c>
      <c r="C136" s="399"/>
      <c r="D136" s="186">
        <f>D34*F136</f>
        <v>0</v>
      </c>
      <c r="E136" s="120" t="s">
        <v>826</v>
      </c>
      <c r="F136" s="52">
        <v>3.5999999999999999E-3</v>
      </c>
      <c r="G136" s="52" t="s">
        <v>827</v>
      </c>
    </row>
    <row r="137" spans="2:23" ht="12.75" hidden="1" customHeight="1">
      <c r="B137" s="398" t="s">
        <v>828</v>
      </c>
      <c r="C137" s="399"/>
      <c r="D137" s="186">
        <f>SUM(E36:E41)</f>
        <v>0</v>
      </c>
      <c r="Q137" s="3" t="s">
        <v>34</v>
      </c>
      <c r="R137" s="3" t="s">
        <v>34</v>
      </c>
      <c r="S137" s="3" t="s">
        <v>34</v>
      </c>
      <c r="T137" s="3" t="s">
        <v>34</v>
      </c>
      <c r="U137" s="3" t="s">
        <v>34</v>
      </c>
      <c r="V137" s="3" t="s">
        <v>34</v>
      </c>
      <c r="W137" s="3" t="s">
        <v>34</v>
      </c>
    </row>
    <row r="138" spans="2:23" ht="12.75" hidden="1" customHeight="1">
      <c r="B138" s="398" t="s">
        <v>829</v>
      </c>
      <c r="C138" s="399"/>
      <c r="D138" s="186">
        <f>I132*F136</f>
        <v>0</v>
      </c>
      <c r="Q138" s="131"/>
      <c r="R138" s="132" t="s">
        <v>830</v>
      </c>
      <c r="S138" s="132"/>
      <c r="T138" s="132"/>
      <c r="U138" s="132"/>
      <c r="V138" s="132"/>
      <c r="W138" s="133"/>
    </row>
    <row r="139" spans="2:23" ht="24" hidden="1" customHeight="1">
      <c r="B139" s="398" t="s">
        <v>831</v>
      </c>
      <c r="C139" s="399"/>
      <c r="D139" s="187" t="str">
        <f>IFERROR(D137/D135,"0%")</f>
        <v>0%</v>
      </c>
      <c r="E139" s="125" t="str">
        <f>IF(VLOOKUP(1,$Q$138:$W$145,4,0)=0,"",VLOOKUP(1,$Q$138:$W$145,4,0))</f>
        <v/>
      </c>
      <c r="F139" s="127"/>
      <c r="G139" s="397" t="str">
        <f>IF(VLOOKUP(1,Q138:W145,7,0)=0,"",VLOOKUP(1,Q138:W145,7,0))</f>
        <v/>
      </c>
      <c r="H139" s="397"/>
      <c r="I139" s="126"/>
      <c r="Q139" s="134" t="s">
        <v>832</v>
      </c>
      <c r="R139" s="121" t="s">
        <v>833</v>
      </c>
      <c r="S139" s="122" t="s">
        <v>832</v>
      </c>
      <c r="T139" s="3" t="s">
        <v>834</v>
      </c>
      <c r="U139" s="123" t="s">
        <v>835</v>
      </c>
      <c r="V139" s="123" t="s">
        <v>832</v>
      </c>
      <c r="W139" s="135" t="s">
        <v>836</v>
      </c>
    </row>
    <row r="140" spans="2:23" ht="24" hidden="1" customHeight="1">
      <c r="B140" s="398" t="s">
        <v>837</v>
      </c>
      <c r="C140" s="399"/>
      <c r="D140" s="187" t="str">
        <f>IFERROR(D138/D136,"0%")</f>
        <v>0%</v>
      </c>
      <c r="E140" s="125" t="str">
        <f>IFERROR(IF(D140&gt;=0.15,"Is the renewable energy metered, monitored and validated?",""),"")</f>
        <v>Is the renewable energy metered, monitored and validated?</v>
      </c>
      <c r="F140" s="127"/>
      <c r="Q140" s="134">
        <f t="shared" ref="Q140:Q145" si="4">S140*V140</f>
        <v>0</v>
      </c>
      <c r="R140" s="121" t="s">
        <v>838</v>
      </c>
      <c r="S140" s="122">
        <f>IF($D$139=0,1,0)</f>
        <v>0</v>
      </c>
      <c r="U140" s="123"/>
      <c r="V140" s="123">
        <v>1</v>
      </c>
      <c r="W140" s="135"/>
    </row>
    <row r="141" spans="2:23" ht="12.75" hidden="1" customHeight="1">
      <c r="B141" s="398" t="s">
        <v>839</v>
      </c>
      <c r="C141" s="399"/>
      <c r="D141" s="187" t="str">
        <f>IFERROR((D138+D35*D34*F136)/D136,"0%")</f>
        <v>0%</v>
      </c>
      <c r="Q141" s="134">
        <f t="shared" si="4"/>
        <v>0</v>
      </c>
      <c r="R141" s="121" t="s">
        <v>840</v>
      </c>
      <c r="S141" s="122">
        <f>IF(AND($D$139&gt;0,$D$139&lt;=0.01),1,0)</f>
        <v>0</v>
      </c>
      <c r="T141" s="3" t="s">
        <v>841</v>
      </c>
      <c r="U141" s="123" t="s">
        <v>842</v>
      </c>
      <c r="V141" s="123">
        <f>IF(OR($F$139="Yes",$F$139=""),1,0)</f>
        <v>1</v>
      </c>
      <c r="W141" s="135"/>
    </row>
    <row r="142" spans="2:23" ht="12.75" hidden="1" customHeight="1">
      <c r="B142" s="408" t="s">
        <v>843</v>
      </c>
      <c r="C142" s="409"/>
      <c r="D142" s="40" t="str">
        <f>IF(AND(D143="Yes",D144="Yes",D145="Yes"),"1 point achieved","No points achieved")</f>
        <v>No points achieved</v>
      </c>
      <c r="Q142" s="134">
        <f t="shared" si="4"/>
        <v>0</v>
      </c>
      <c r="R142" s="121"/>
      <c r="S142" s="122">
        <f>IF(AND($D$139&gt;0,$D$139&lt;=0.01),1,0)</f>
        <v>0</v>
      </c>
      <c r="T142" s="3" t="s">
        <v>841</v>
      </c>
      <c r="U142" s="123" t="s">
        <v>844</v>
      </c>
      <c r="V142" s="123">
        <f>IF($F$139="No",1,0)</f>
        <v>0</v>
      </c>
      <c r="W142" s="135" t="s">
        <v>845</v>
      </c>
    </row>
    <row r="143" spans="2:23" ht="12.75" hidden="1" customHeight="1">
      <c r="B143" s="410" t="s">
        <v>846</v>
      </c>
      <c r="C143" s="411"/>
      <c r="D143" s="104" t="str">
        <f>IF(D46&lt;4,"No","Yes")</f>
        <v>No</v>
      </c>
      <c r="Q143" s="134">
        <f t="shared" si="4"/>
        <v>0</v>
      </c>
      <c r="R143" s="121" t="s">
        <v>847</v>
      </c>
      <c r="S143" s="122">
        <f>IF(AND($D$139&gt;0.01,$D$139&lt;=0.05),1,0)</f>
        <v>0</v>
      </c>
      <c r="T143" s="3" t="s">
        <v>848</v>
      </c>
      <c r="U143" s="123" t="s">
        <v>849</v>
      </c>
      <c r="V143" s="123">
        <f>IF($F$139="Yes",1,0)</f>
        <v>0</v>
      </c>
      <c r="W143" s="135" t="s">
        <v>845</v>
      </c>
    </row>
    <row r="144" spans="2:23" ht="12.75" hidden="1" customHeight="1">
      <c r="B144" s="410" t="s">
        <v>850</v>
      </c>
      <c r="C144" s="411"/>
      <c r="D144" s="104" t="b">
        <f>IF(D139=0,"Yes",IF(D139&lt;=0.01,IF(AND(F139="No",I139="Yes"),"Yes","No"),IF(D139&lt;=0.05,IF(AND(F139="Yes",I139="Yes"),"Yes","No"))))</f>
        <v>0</v>
      </c>
      <c r="Q144" s="134">
        <f t="shared" si="4"/>
        <v>0</v>
      </c>
      <c r="R144" s="121"/>
      <c r="S144" s="122">
        <f>IF(AND($D$139&gt;0.01,$D$139&lt;=0.05),1,0)</f>
        <v>0</v>
      </c>
      <c r="T144" s="3" t="s">
        <v>848</v>
      </c>
      <c r="U144" s="123" t="s">
        <v>851</v>
      </c>
      <c r="V144" s="123">
        <f>IF(OR($F$139="No",$F$139=""),1,0)</f>
        <v>1</v>
      </c>
      <c r="W144" s="135"/>
    </row>
    <row r="145" spans="2:23" ht="12.75" hidden="1" customHeight="1">
      <c r="B145" s="410" t="s">
        <v>852</v>
      </c>
      <c r="C145" s="411"/>
      <c r="D145" s="104" t="str">
        <f>IF(D141&gt;=1,"Yes","No")</f>
        <v>Yes</v>
      </c>
      <c r="Q145" s="134">
        <f t="shared" si="4"/>
        <v>1</v>
      </c>
      <c r="R145" s="121" t="s">
        <v>853</v>
      </c>
      <c r="S145" s="122">
        <f>IF(D$139&gt;0.05,1,0)</f>
        <v>1</v>
      </c>
      <c r="U145" s="123"/>
      <c r="V145" s="123">
        <v>1</v>
      </c>
      <c r="W145" s="135"/>
    </row>
    <row r="146" spans="2:23" ht="12.75" hidden="1" customHeight="1">
      <c r="B146" s="408" t="s">
        <v>854</v>
      </c>
      <c r="C146" s="409"/>
      <c r="D146" s="40" t="str">
        <f>IF(D140&lt;0.15,"No points achieved",IF(D140&lt;0.3,IF(F140="Yes","1 point achieved","No points achieved"),IF(F140="Yes","2 points achieved","No points achieved")))</f>
        <v>No points achieved</v>
      </c>
      <c r="Q146" s="136"/>
      <c r="W146" s="135"/>
    </row>
    <row r="147" spans="2:23" ht="12.75" hidden="1" customHeight="1">
      <c r="Q147" s="137" t="s">
        <v>849</v>
      </c>
      <c r="R147" s="138" t="s">
        <v>844</v>
      </c>
      <c r="S147" s="138"/>
      <c r="T147" s="138"/>
      <c r="U147" s="138"/>
      <c r="V147" s="138"/>
      <c r="W147" s="139"/>
    </row>
    <row r="148" spans="2:23" ht="12.75" hidden="1" customHeight="1"/>
    <row r="149" spans="2:23" ht="12.75" hidden="1" customHeight="1"/>
    <row r="150" spans="2:23" ht="12.75" hidden="1" customHeight="1">
      <c r="B150" s="188" t="s">
        <v>855</v>
      </c>
      <c r="C150" s="189"/>
      <c r="D150" s="190" t="s">
        <v>856</v>
      </c>
    </row>
    <row r="151" spans="2:23" ht="12.75" hidden="1" customHeight="1">
      <c r="B151" s="191" t="s">
        <v>857</v>
      </c>
      <c r="C151" s="192">
        <v>0.15</v>
      </c>
      <c r="D151" s="190" t="s">
        <v>858</v>
      </c>
    </row>
    <row r="152" spans="2:23" ht="12.75" hidden="1" customHeight="1">
      <c r="B152" s="190" t="s">
        <v>859</v>
      </c>
      <c r="C152" s="192">
        <v>0.3</v>
      </c>
      <c r="D152" s="190" t="s">
        <v>860</v>
      </c>
    </row>
  </sheetData>
  <sheetProtection sort="0" pivotTables="0"/>
  <customSheetViews>
    <customSheetView guid="{8B2770CE-D161-47F0-859F-125AE657BDD5}" showGridLines="0" fitToPage="1" hiddenRows="1" topLeftCell="A79">
      <selection activeCell="D99" sqref="D99"/>
      <pageMargins left="0" right="0" top="0" bottom="0" header="0" footer="0"/>
      <pageSetup paperSize="9" scale="23" orientation="portrait" r:id="rId1"/>
    </customSheetView>
    <customSheetView guid="{693EBD7D-AE81-4642-BB20-D90B339CE02F}" scale="90" fitToPage="1" hiddenRows="1">
      <selection activeCell="E46" sqref="E46"/>
      <pageMargins left="0" right="0" top="0" bottom="0" header="0" footer="0"/>
      <pageSetup paperSize="9" scale="23" orientation="portrait" r:id="rId2"/>
    </customSheetView>
    <customSheetView guid="{E06C82F7-4BAD-4D00-99B9-78356C6407C1}" showGridLines="0" fitToPage="1" hiddenColumns="1" topLeftCell="A96">
      <selection activeCell="D142" sqref="D142"/>
      <pageMargins left="0" right="0" top="0" bottom="0" header="0" footer="0"/>
      <pageSetup paperSize="9" scale="24" orientation="portrait" r:id="rId3"/>
    </customSheetView>
    <customSheetView guid="{F1CAFB27-0D4C-4982-A367-458EC793250D}" showGridLines="0" fitToPage="1" hiddenColumns="1" topLeftCell="A97">
      <selection activeCell="D26" sqref="D26"/>
      <pageMargins left="0" right="0" top="0" bottom="0" header="0" footer="0"/>
      <pageSetup paperSize="9" scale="24" orientation="portrait" r:id="rId4"/>
    </customSheetView>
    <customSheetView guid="{0AA775FA-F8A9-4D24-AA12-2EE4A0C4B54A}" fitToPage="1" topLeftCell="A22">
      <selection activeCell="F33" sqref="F33"/>
      <pageMargins left="0" right="0" top="0" bottom="0" header="0" footer="0"/>
      <pageSetup paperSize="9" scale="24" orientation="portrait" r:id="rId5"/>
    </customSheetView>
  </customSheetViews>
  <mergeCells count="67">
    <mergeCell ref="B135:C135"/>
    <mergeCell ref="B137:C137"/>
    <mergeCell ref="B138:C138"/>
    <mergeCell ref="B139:C139"/>
    <mergeCell ref="B136:C136"/>
    <mergeCell ref="G139:H139"/>
    <mergeCell ref="B145:C145"/>
    <mergeCell ref="B146:C146"/>
    <mergeCell ref="B140:C140"/>
    <mergeCell ref="B142:C142"/>
    <mergeCell ref="B143:C143"/>
    <mergeCell ref="B144:C144"/>
    <mergeCell ref="B141:C141"/>
    <mergeCell ref="B82:C82"/>
    <mergeCell ref="B88:C88"/>
    <mergeCell ref="B96:C96"/>
    <mergeCell ref="B97:C97"/>
    <mergeCell ref="B100:C100"/>
    <mergeCell ref="B90:C90"/>
    <mergeCell ref="B91:C91"/>
    <mergeCell ref="B93:C93"/>
    <mergeCell ref="B94:C94"/>
    <mergeCell ref="B95:C95"/>
    <mergeCell ref="B98:C98"/>
    <mergeCell ref="B83:C83"/>
    <mergeCell ref="B84:C84"/>
    <mergeCell ref="B86:C86"/>
    <mergeCell ref="B87:C87"/>
    <mergeCell ref="B102:C102"/>
    <mergeCell ref="B103:C103"/>
    <mergeCell ref="B106:C106"/>
    <mergeCell ref="B89:C89"/>
    <mergeCell ref="B15:C15"/>
    <mergeCell ref="B74:C74"/>
    <mergeCell ref="B57:C57"/>
    <mergeCell ref="B58:C58"/>
    <mergeCell ref="B65:C65"/>
    <mergeCell ref="B66:C66"/>
    <mergeCell ref="B67:C67"/>
    <mergeCell ref="B68:C68"/>
    <mergeCell ref="B69:C69"/>
    <mergeCell ref="B72:C72"/>
    <mergeCell ref="B73:C73"/>
    <mergeCell ref="B101:C101"/>
    <mergeCell ref="B7:C7"/>
    <mergeCell ref="B8:C8"/>
    <mergeCell ref="B9:C9"/>
    <mergeCell ref="B10:C10"/>
    <mergeCell ref="B12:C12"/>
    <mergeCell ref="B80:C80"/>
    <mergeCell ref="B81:C81"/>
    <mergeCell ref="B76:C76"/>
    <mergeCell ref="B75:C75"/>
    <mergeCell ref="B77:C77"/>
    <mergeCell ref="K25:L25"/>
    <mergeCell ref="K16:L17"/>
    <mergeCell ref="E28:E29"/>
    <mergeCell ref="B11:C11"/>
    <mergeCell ref="B79:C79"/>
    <mergeCell ref="B28:B29"/>
    <mergeCell ref="B27:C27"/>
    <mergeCell ref="B70:C70"/>
    <mergeCell ref="K46:M46"/>
    <mergeCell ref="B13:C13"/>
    <mergeCell ref="L47:O47"/>
    <mergeCell ref="L52:U52"/>
    <mergeCell ref="E47:E50"/>
  </mergeCells>
  <phoneticPr fontId="105" type="noConversion"/>
  <conditionalFormatting sqref="B62:D62">
    <cfRule type="expression" dxfId="105" priority="1">
      <formula>$D$11="Hotel"</formula>
    </cfRule>
    <cfRule type="expression" dxfId="104" priority="2">
      <formula>$D$11="Whole Building"</formula>
    </cfRule>
  </conditionalFormatting>
  <conditionalFormatting sqref="D11">
    <cfRule type="expression" dxfId="103" priority="46">
      <formula>$D$11=$K$52</formula>
    </cfRule>
  </conditionalFormatting>
  <conditionalFormatting sqref="D14">
    <cfRule type="expression" dxfId="102" priority="5">
      <formula>$D$14=$N$6</formula>
    </cfRule>
  </conditionalFormatting>
  <conditionalFormatting sqref="E58">
    <cfRule type="expression" dxfId="101" priority="4">
      <formula>$E$58="Conditional Requirements not met for the Green Star Rating targeted"</formula>
    </cfRule>
  </conditionalFormatting>
  <conditionalFormatting sqref="E139">
    <cfRule type="expression" dxfId="100" priority="10">
      <formula>ISNUMBER(SEARCH("s",E139))</formula>
    </cfRule>
  </conditionalFormatting>
  <conditionalFormatting sqref="E140">
    <cfRule type="expression" dxfId="99" priority="11">
      <formula>ISNUMBER(SEARCH("Is",E140))</formula>
    </cfRule>
  </conditionalFormatting>
  <conditionalFormatting sqref="F139">
    <cfRule type="expression" dxfId="98" priority="8">
      <formula>ISNUMBER(SEARCH("a",E139))</formula>
    </cfRule>
  </conditionalFormatting>
  <conditionalFormatting sqref="F140">
    <cfRule type="expression" dxfId="97" priority="7">
      <formula>ISNUMBER(SEARCH("s",E140))</formula>
    </cfRule>
  </conditionalFormatting>
  <conditionalFormatting sqref="G139">
    <cfRule type="expression" dxfId="96" priority="9">
      <formula>ISNUMBER(SEARCH("s",G139:H139))</formula>
    </cfRule>
  </conditionalFormatting>
  <conditionalFormatting sqref="I139">
    <cfRule type="expression" dxfId="95" priority="6">
      <formula>G139=""</formula>
    </cfRule>
  </conditionalFormatting>
  <dataValidations count="9">
    <dataValidation type="list" allowBlank="1" showInputMessage="1" showErrorMessage="1" sqref="D15" xr:uid="{00000000-0002-0000-0400-000000000000}">
      <formula1>$N$16:$N$17</formula1>
    </dataValidation>
    <dataValidation type="list" allowBlank="1" showInputMessage="1" showErrorMessage="1" sqref="K12:K15" xr:uid="{00000000-0002-0000-0400-000001000000}">
      <formula1>STATES</formula1>
    </dataValidation>
    <dataValidation type="list" allowBlank="1" showInputMessage="1" showErrorMessage="1" sqref="H23 K23 D10" xr:uid="{00000000-0002-0000-0400-000002000000}">
      <formula1>BldUse</formula1>
    </dataValidation>
    <dataValidation type="list" allowBlank="1" showInputMessage="1" showErrorMessage="1" sqref="K21 H11 K11" xr:uid="{00000000-0002-0000-0400-000003000000}">
      <formula1>RatingType</formula1>
    </dataValidation>
    <dataValidation type="list" allowBlank="1" showInputMessage="1" showErrorMessage="1" sqref="I139" xr:uid="{00000000-0002-0000-0400-000004000000}">
      <formula1>Q147:R147</formula1>
    </dataValidation>
    <dataValidation type="list" allowBlank="1" showInputMessage="1" showErrorMessage="1" sqref="F140" xr:uid="{00000000-0002-0000-0400-000005000000}">
      <formula1>Q147:R147</formula1>
    </dataValidation>
    <dataValidation type="list" allowBlank="1" showInputMessage="1" showErrorMessage="1" sqref="F139" xr:uid="{00000000-0002-0000-0400-000006000000}">
      <formula1>Q147:R147</formula1>
    </dataValidation>
    <dataValidation type="list" allowBlank="1" showInputMessage="1" showErrorMessage="1" sqref="D11" xr:uid="{00000000-0002-0000-0400-000009000000}">
      <formula1>$K$52:$K$56</formula1>
    </dataValidation>
    <dataValidation type="list" allowBlank="1" showInputMessage="1" showErrorMessage="1" sqref="D14" xr:uid="{00000000-0002-0000-0400-000007000000}">
      <formula1>$N$6:$N$13</formula1>
    </dataValidation>
  </dataValidations>
  <pageMargins left="0.70866141732283472" right="0.70866141732283472" top="0.74803149606299213" bottom="0.74803149606299213" header="0.31496062992125984" footer="0.31496062992125984"/>
  <pageSetup paperSize="9" scale="23" orientation="portrait" r:id="rId6"/>
  <drawing r:id="rId7"/>
  <legacyDrawing r:id="rId8"/>
  <legacyDrawingHF r:id="rId9"/>
  <extLst>
    <ext xmlns:x14="http://schemas.microsoft.com/office/spreadsheetml/2009/9/main" uri="{78C0D931-6437-407d-A8EE-F0AAD7539E65}">
      <x14:conditionalFormattings>
        <x14:conditionalFormatting xmlns:xm="http://schemas.microsoft.com/office/excel/2006/main">
          <x14:cfRule type="expression" priority="41" id="{673C748E-7612-4FD4-867A-D0623CE0DC42}">
            <xm:f>IF($D$52='AGO Emission Factors'!$I$8,'AGO Emission Factors'!#REF!)</xm:f>
            <x14:dxf/>
          </x14:cfRule>
          <xm:sqref>B70:C70 B77:C77 B84:C84 B91:C91 B98:C98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8000000}">
          <x14:formula1>
            <xm:f>'AGO Emission Factors'!$I$8:$I$9</xm:f>
          </x14:formula1>
          <xm:sqref>D65 D72 D79 D86 D93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CFA4C-869D-4FB1-A4BC-675EF5E08726}">
  <sheetPr codeName="Sheet6"/>
  <dimension ref="A1:A11"/>
  <sheetViews>
    <sheetView workbookViewId="0">
      <selection sqref="A1:A11"/>
    </sheetView>
  </sheetViews>
  <sheetFormatPr defaultRowHeight="13.15"/>
  <sheetData>
    <row r="1" spans="1:1">
      <c r="A1" s="360" t="s">
        <v>876</v>
      </c>
    </row>
    <row r="2" spans="1:1">
      <c r="A2" t="s">
        <v>877</v>
      </c>
    </row>
    <row r="3" spans="1:1">
      <c r="A3" t="s">
        <v>878</v>
      </c>
    </row>
    <row r="5" spans="1:1">
      <c r="A5" t="s">
        <v>879</v>
      </c>
    </row>
    <row r="7" spans="1:1">
      <c r="A7" s="24" t="s">
        <v>880</v>
      </c>
    </row>
    <row r="8" spans="1:1">
      <c r="A8" s="24"/>
    </row>
    <row r="9" spans="1:1">
      <c r="A9" t="s">
        <v>881</v>
      </c>
    </row>
    <row r="10" spans="1:1">
      <c r="A10" t="s">
        <v>882</v>
      </c>
    </row>
    <row r="11" spans="1:1">
      <c r="A11" t="s">
        <v>883</v>
      </c>
    </row>
  </sheetData>
  <sheetProtection algorithmName="SHA-512" hashValue="/HmQj4CV3skLp3Rm+o2p4L+96NGKMmSt+SnmvjYDVgi92EhD1FzkFbRDVnizzPdWmbs6fwBdJ7PuqBy4MammVg==" saltValue="zuZ64LjxIdX+j60OfXYGTA==" spinCount="100000"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52D95-12CB-4E21-B50F-60132FFF4328}">
  <sheetPr codeName="Sheet7">
    <tabColor theme="9" tint="-0.249977111117893"/>
  </sheetPr>
  <dimension ref="B2:BF107"/>
  <sheetViews>
    <sheetView showGridLines="0" tabSelected="1" zoomScale="90" zoomScaleNormal="90" workbookViewId="0">
      <pane xSplit="3" ySplit="6" topLeftCell="AO7" activePane="bottomRight" state="frozenSplit"/>
      <selection pane="bottomRight" activeCell="W8" sqref="W8"/>
      <selection pane="bottomLeft" activeCell="A9" sqref="A9"/>
      <selection pane="topRight" activeCell="I1" sqref="I1"/>
    </sheetView>
  </sheetViews>
  <sheetFormatPr defaultColWidth="9.28515625" defaultRowHeight="13.15"/>
  <cols>
    <col min="1" max="1" width="4.5703125" customWidth="1"/>
    <col min="2" max="2" width="11.7109375" customWidth="1"/>
    <col min="3" max="3" width="26" customWidth="1"/>
    <col min="4" max="4" width="12.7109375" customWidth="1"/>
    <col min="5" max="5" width="18.42578125" customWidth="1"/>
    <col min="6" max="6" width="29.42578125" customWidth="1"/>
    <col min="7" max="7" width="9.85546875" customWidth="1"/>
    <col min="8" max="8" width="17.7109375" customWidth="1"/>
    <col min="9" max="9" width="11.28515625" hidden="1" customWidth="1"/>
    <col min="10" max="11" width="11.28515625" customWidth="1"/>
    <col min="12" max="12" width="11.28515625" hidden="1" customWidth="1"/>
    <col min="13" max="13" width="11.28515625" customWidth="1"/>
    <col min="14" max="18" width="29.42578125" customWidth="1"/>
    <col min="19" max="19" width="22.7109375" customWidth="1"/>
    <col min="20" max="20" width="14.28515625" customWidth="1"/>
    <col min="21" max="21" width="13.7109375" customWidth="1"/>
    <col min="22" max="22" width="8.28515625" customWidth="1"/>
    <col min="23" max="23" width="11.42578125" customWidth="1"/>
    <col min="24" max="26" width="10.42578125" customWidth="1"/>
    <col min="27" max="28" width="11.42578125" customWidth="1"/>
    <col min="29" max="29" width="6.5703125" customWidth="1"/>
    <col min="30" max="31" width="15.7109375" customWidth="1"/>
    <col min="32" max="32" width="12.28515625" customWidth="1"/>
    <col min="33" max="35" width="15.7109375" customWidth="1"/>
    <col min="36" max="36" width="7.5703125" customWidth="1"/>
    <col min="37" max="42" width="14.7109375" customWidth="1"/>
    <col min="43" max="43" width="11.7109375" customWidth="1"/>
    <col min="44" max="50" width="14.7109375" customWidth="1"/>
    <col min="51" max="53" width="12.7109375" customWidth="1"/>
    <col min="54" max="54" width="10.5703125" customWidth="1"/>
    <col min="55" max="55" width="14.7109375" bestFit="1" customWidth="1"/>
    <col min="56" max="57" width="12.7109375" customWidth="1"/>
    <col min="58" max="58" width="13.7109375" customWidth="1"/>
  </cols>
  <sheetData>
    <row r="2" spans="2:58" s="3" customFormat="1" ht="90" customHeight="1">
      <c r="B2" s="266"/>
      <c r="E2" s="266"/>
      <c r="F2" s="266"/>
      <c r="G2" s="266"/>
      <c r="H2" s="266"/>
      <c r="I2" s="266"/>
      <c r="J2" s="266"/>
      <c r="K2" s="266"/>
      <c r="L2" s="266"/>
      <c r="M2" s="266"/>
      <c r="N2" s="266"/>
      <c r="O2" s="266"/>
      <c r="P2" s="266"/>
      <c r="Q2" s="266"/>
      <c r="R2" s="266"/>
      <c r="U2" s="266"/>
      <c r="AK2" s="266"/>
      <c r="AL2" s="266"/>
      <c r="AM2" s="266"/>
      <c r="AN2" s="266"/>
      <c r="AQ2" s="4"/>
      <c r="AY2" s="266"/>
      <c r="AZ2" s="266"/>
      <c r="BA2" s="266"/>
      <c r="BB2" s="266"/>
      <c r="BC2" s="266"/>
      <c r="BD2" s="266"/>
      <c r="BE2" s="266"/>
      <c r="BF2" s="266"/>
    </row>
    <row r="3" spans="2:58" ht="17.25" customHeight="1">
      <c r="B3" s="431" t="s">
        <v>884</v>
      </c>
      <c r="C3" s="431"/>
      <c r="D3" s="431"/>
      <c r="E3" s="431"/>
      <c r="F3" s="267"/>
      <c r="G3" s="267"/>
      <c r="H3" s="267"/>
      <c r="I3" s="267"/>
      <c r="J3" s="267"/>
      <c r="K3" s="267"/>
      <c r="L3" s="267"/>
      <c r="M3" s="267"/>
      <c r="N3" s="267"/>
      <c r="O3" s="267"/>
      <c r="P3" s="267"/>
      <c r="Q3" s="267"/>
      <c r="R3" s="267"/>
      <c r="S3" s="288"/>
      <c r="V3" s="265"/>
      <c r="W3" s="427"/>
      <c r="X3" s="427"/>
      <c r="Y3" s="427"/>
      <c r="Z3" s="427"/>
      <c r="AA3" s="427"/>
      <c r="AB3" s="427"/>
      <c r="AC3" s="427"/>
      <c r="AD3" s="427"/>
      <c r="AE3" s="427"/>
      <c r="AF3" s="427"/>
      <c r="AG3" s="427"/>
      <c r="AH3" s="427"/>
      <c r="AI3" s="427"/>
      <c r="AJ3" s="427"/>
      <c r="AK3" s="427"/>
      <c r="AL3" s="427"/>
      <c r="AM3" s="427"/>
      <c r="AN3" s="427"/>
      <c r="AO3" s="427"/>
      <c r="AP3" s="427"/>
      <c r="AQ3" s="427"/>
      <c r="AR3" s="427"/>
      <c r="AS3" s="305"/>
      <c r="AT3" s="305"/>
      <c r="AU3" s="305"/>
      <c r="AV3" s="305"/>
      <c r="AW3" s="305"/>
      <c r="AX3" s="305"/>
    </row>
    <row r="4" spans="2:58">
      <c r="B4" s="433" t="s">
        <v>885</v>
      </c>
      <c r="C4" s="434"/>
      <c r="D4" s="434"/>
      <c r="E4" s="434"/>
      <c r="F4" s="434"/>
      <c r="G4" s="434"/>
      <c r="H4" s="434"/>
      <c r="I4" s="434"/>
      <c r="J4" s="434"/>
      <c r="K4" s="434"/>
      <c r="L4" s="434"/>
      <c r="M4" s="434"/>
      <c r="N4" s="434"/>
      <c r="O4" s="434"/>
      <c r="P4" s="434"/>
      <c r="Q4" s="434"/>
      <c r="R4" s="434"/>
      <c r="S4" s="434"/>
      <c r="V4" s="265"/>
      <c r="W4" s="427"/>
      <c r="X4" s="427"/>
      <c r="Y4" s="427"/>
      <c r="Z4" s="427"/>
      <c r="AA4" s="427"/>
      <c r="AB4" s="427"/>
      <c r="AC4" s="427"/>
      <c r="AD4" s="427"/>
      <c r="AE4" s="427"/>
      <c r="AF4" s="427"/>
      <c r="AG4" s="427"/>
      <c r="AH4" s="427"/>
      <c r="AI4" s="427"/>
      <c r="AJ4" s="427"/>
      <c r="AK4" s="427"/>
      <c r="AL4" s="427"/>
      <c r="AM4" s="427"/>
      <c r="AN4" s="427"/>
      <c r="AO4" s="427"/>
      <c r="AP4" s="427"/>
      <c r="AQ4" s="427"/>
      <c r="AR4" s="427"/>
      <c r="AS4" s="305"/>
      <c r="AT4" s="305"/>
      <c r="AU4" s="305"/>
      <c r="AV4" s="305"/>
      <c r="AW4" s="305"/>
      <c r="AX4" s="305"/>
    </row>
    <row r="5" spans="2:58" ht="46.5" customHeight="1">
      <c r="B5" s="432" t="s">
        <v>706</v>
      </c>
      <c r="C5" s="432"/>
      <c r="D5" s="432"/>
      <c r="E5" s="432"/>
      <c r="F5" s="302"/>
      <c r="G5" s="302"/>
      <c r="H5" s="302"/>
      <c r="I5" s="302"/>
      <c r="J5" s="302"/>
      <c r="K5" s="302"/>
      <c r="L5" s="302"/>
      <c r="M5" s="302"/>
      <c r="N5" s="302"/>
      <c r="O5" s="302"/>
      <c r="P5" s="302"/>
      <c r="Q5" s="302"/>
      <c r="R5" s="302"/>
      <c r="S5" s="302"/>
      <c r="T5" s="430" t="s">
        <v>886</v>
      </c>
      <c r="U5" s="430"/>
      <c r="V5" s="430"/>
      <c r="W5" s="430"/>
      <c r="X5" s="430"/>
      <c r="Y5" s="430"/>
      <c r="Z5" s="430"/>
      <c r="AA5" s="430"/>
      <c r="AB5" s="430"/>
      <c r="AC5" s="430"/>
      <c r="AD5" s="430"/>
      <c r="AE5" s="430"/>
      <c r="AF5" s="430"/>
      <c r="AG5" s="430"/>
      <c r="AH5" s="430"/>
      <c r="AI5" s="430"/>
      <c r="AJ5" s="430"/>
      <c r="AK5" s="430"/>
      <c r="AL5" s="430"/>
      <c r="AM5" s="430"/>
      <c r="AN5" s="430"/>
      <c r="AO5" s="430"/>
      <c r="AP5" s="430"/>
      <c r="AQ5" s="430"/>
      <c r="AR5" s="430"/>
      <c r="AS5" s="301"/>
      <c r="AT5" s="301"/>
      <c r="AU5" s="301"/>
      <c r="AV5" s="301"/>
      <c r="AW5" s="301"/>
      <c r="AX5" s="301"/>
      <c r="AY5" s="428" t="s">
        <v>887</v>
      </c>
      <c r="AZ5" s="428"/>
      <c r="BA5" s="428"/>
      <c r="BB5" s="428"/>
      <c r="BC5" s="428"/>
      <c r="BD5" s="428"/>
      <c r="BE5" s="429"/>
      <c r="BF5" s="425" t="s">
        <v>888</v>
      </c>
    </row>
    <row r="6" spans="2:58" s="295" customFormat="1" ht="48">
      <c r="B6" s="297" t="s">
        <v>642</v>
      </c>
      <c r="C6" s="298" t="s">
        <v>889</v>
      </c>
      <c r="D6" s="338" t="s">
        <v>890</v>
      </c>
      <c r="E6" s="298" t="s">
        <v>891</v>
      </c>
      <c r="F6" s="298" t="s">
        <v>892</v>
      </c>
      <c r="G6" s="298" t="s">
        <v>893</v>
      </c>
      <c r="H6" s="298" t="s">
        <v>894</v>
      </c>
      <c r="I6" s="298" t="s">
        <v>895</v>
      </c>
      <c r="J6" s="298" t="s">
        <v>896</v>
      </c>
      <c r="K6" s="298" t="s">
        <v>897</v>
      </c>
      <c r="L6" s="298" t="s">
        <v>898</v>
      </c>
      <c r="M6" s="298" t="s">
        <v>899</v>
      </c>
      <c r="N6" s="298" t="s">
        <v>900</v>
      </c>
      <c r="O6" s="298" t="s">
        <v>901</v>
      </c>
      <c r="P6" s="298" t="s">
        <v>902</v>
      </c>
      <c r="Q6" s="298" t="s">
        <v>903</v>
      </c>
      <c r="R6" s="298" t="s">
        <v>904</v>
      </c>
      <c r="S6" s="298" t="s">
        <v>905</v>
      </c>
      <c r="T6" s="306" t="s">
        <v>906</v>
      </c>
      <c r="U6" s="306" t="s">
        <v>907</v>
      </c>
      <c r="V6" s="307" t="s">
        <v>908</v>
      </c>
      <c r="W6" s="306" t="s">
        <v>909</v>
      </c>
      <c r="X6" s="306" t="s">
        <v>910</v>
      </c>
      <c r="Y6" s="306" t="s">
        <v>911</v>
      </c>
      <c r="Z6" s="306" t="s">
        <v>912</v>
      </c>
      <c r="AA6" s="298" t="s">
        <v>913</v>
      </c>
      <c r="AB6" s="298" t="s">
        <v>914</v>
      </c>
      <c r="AC6" s="298" t="s">
        <v>915</v>
      </c>
      <c r="AD6" s="298" t="s">
        <v>916</v>
      </c>
      <c r="AE6" s="298" t="s">
        <v>917</v>
      </c>
      <c r="AF6" s="298" t="s">
        <v>918</v>
      </c>
      <c r="AG6" s="298" t="s">
        <v>919</v>
      </c>
      <c r="AH6" s="308" t="s">
        <v>920</v>
      </c>
      <c r="AI6" s="308" t="s">
        <v>921</v>
      </c>
      <c r="AJ6" s="308" t="s">
        <v>922</v>
      </c>
      <c r="AK6" s="308" t="s">
        <v>923</v>
      </c>
      <c r="AL6" s="308" t="s">
        <v>924</v>
      </c>
      <c r="AM6" s="308" t="s">
        <v>925</v>
      </c>
      <c r="AN6" s="308" t="s">
        <v>926</v>
      </c>
      <c r="AO6" s="298" t="s">
        <v>927</v>
      </c>
      <c r="AP6" s="298" t="s">
        <v>928</v>
      </c>
      <c r="AQ6" s="298" t="s">
        <v>929</v>
      </c>
      <c r="AR6" s="298" t="s">
        <v>930</v>
      </c>
      <c r="AS6" s="298" t="s">
        <v>931</v>
      </c>
      <c r="AT6" s="298" t="s">
        <v>932</v>
      </c>
      <c r="AU6" s="298" t="s">
        <v>933</v>
      </c>
      <c r="AV6" s="298" t="s">
        <v>934</v>
      </c>
      <c r="AW6" s="298" t="s">
        <v>935</v>
      </c>
      <c r="AX6" s="298" t="s">
        <v>936</v>
      </c>
      <c r="AY6" s="299" t="s">
        <v>937</v>
      </c>
      <c r="AZ6" s="299" t="s">
        <v>938</v>
      </c>
      <c r="BA6" s="299" t="s">
        <v>869</v>
      </c>
      <c r="BB6" s="299" t="s">
        <v>939</v>
      </c>
      <c r="BC6" s="299" t="s">
        <v>940</v>
      </c>
      <c r="BD6" s="299" t="s">
        <v>941</v>
      </c>
      <c r="BE6" s="299" t="s">
        <v>942</v>
      </c>
      <c r="BF6" s="426"/>
    </row>
    <row r="7" spans="2:58" ht="15.4" customHeight="1">
      <c r="B7" s="300"/>
      <c r="C7" s="300"/>
      <c r="D7" s="300"/>
      <c r="E7" s="300"/>
      <c r="F7" s="300"/>
      <c r="G7" s="300"/>
      <c r="H7" s="300"/>
      <c r="I7" s="343" t="s">
        <v>943</v>
      </c>
      <c r="J7" s="274"/>
      <c r="K7" s="274"/>
      <c r="L7" s="359">
        <f t="shared" ref="L7:L38" si="0">K7-J7+1</f>
        <v>1</v>
      </c>
      <c r="M7" s="362">
        <f t="shared" ref="M7:M38" si="1">YEAR(K7)</f>
        <v>1900</v>
      </c>
      <c r="N7" s="300"/>
      <c r="O7" s="300"/>
      <c r="P7" s="300"/>
      <c r="Q7" s="300"/>
      <c r="R7" s="300"/>
      <c r="S7" s="300"/>
      <c r="T7" s="361"/>
      <c r="U7" s="361"/>
      <c r="V7" s="344" t="str">
        <f t="shared" ref="V7:V38" si="2">IF(ISBLANK(U7),"",U7-T7+1)</f>
        <v/>
      </c>
      <c r="W7" s="339"/>
      <c r="X7" s="363">
        <f t="shared" ref="X7" si="3">IF(W7&gt;0,W7*0.0036*IF(OR(T7&gt;$J$7,U7&lt;$K$7), 0, IF(T7&lt;$J$7,U7-$J$7,IF($K$7&lt;U7,U7-$K$7,V7)))/V7,0)</f>
        <v>0</v>
      </c>
      <c r="Y7" s="346" t="e" cm="1">
        <f t="array" ref="Y7">IF('Pathway B benchmarks'!C61,INDEX('Pathway B benchmarks'!C61:C63,MATCH(1,($I$7='Pathway B benchmarks'!A61:A63)*($M$7='Pathway B benchmarks'!B61:B63),0),1))</f>
        <v>#N/A</v>
      </c>
      <c r="Z7" s="358" t="e">
        <f t="shared" ref="Z7:Z70" si="4">$Y7/0.0036*$X7</f>
        <v>#N/A</v>
      </c>
      <c r="AA7" s="274"/>
      <c r="AB7" s="274"/>
      <c r="AC7" s="344" t="str">
        <f t="shared" ref="AC7:AC70" si="5">IF(ISBLANK(AB7),"",AB7-AA7+1)</f>
        <v/>
      </c>
      <c r="AD7" s="339"/>
      <c r="AE7" s="364">
        <f>IF(AD7&gt;0,AD7*0.001*IF(OR(AA7&gt;$J$7,AB7&lt;$K$7), 0, IF(AA7&lt;$J$7,AB7-$J$7,IF($K$7&lt;AB7,AB7-$K$7,AC7)))/AC7,0)</f>
        <v>0</v>
      </c>
      <c r="AF7" s="348" t="e" cm="1">
        <f t="array" ref="AF7">IF('Pathway B benchmarks'!F39,INDEX('Pathway B benchmarks'!F39:F56,MATCH(1,($AE$6='Pathway B benchmarks'!A39:A56)*($M$7='Pathway B benchmarks'!B39:B56),0),1))</f>
        <v>#N/A</v>
      </c>
      <c r="AG7" s="349">
        <f t="shared" ref="AG7:AG70" si="6">IFERROR($AE7*$AF7,0)</f>
        <v>0</v>
      </c>
      <c r="AH7" s="303"/>
      <c r="AI7" s="303"/>
      <c r="AJ7" s="344" t="str">
        <f t="shared" ref="AJ7:AJ70" si="7">IF(ISBLANK(AI7),"",AI7-AH7+1)</f>
        <v/>
      </c>
      <c r="AK7" s="339"/>
      <c r="AL7" s="363">
        <f t="shared" ref="AL7" si="8">IF(AK7&gt;0,AK7*26.2*IF(OR(AH7&gt;$J$7,AI7&lt;$K$7), 0, IF(AH7&lt;$J$7,AI7-$J$7,IF($K$7&lt;AI7,AI7-$K$7,AJ7)))/AJ7,0)</f>
        <v>0</v>
      </c>
      <c r="AM7" s="345" t="e" cm="1">
        <f t="array" ref="AM7">IF('Pathway B benchmarks'!F39,INDEX('Pathway B benchmarks'!F39:F56,MATCH(1,($AL$6='Pathway B benchmarks'!A39:A56)*($M$7='Pathway B benchmarks'!B39:B56),0),1))</f>
        <v>#N/A</v>
      </c>
      <c r="AN7" s="347">
        <f t="shared" ref="AN7:AN38" si="9">IFERROR($AL7*$AM7,0)</f>
        <v>0</v>
      </c>
      <c r="AO7" s="303"/>
      <c r="AP7" s="303"/>
      <c r="AQ7" s="344" t="str">
        <f t="shared" ref="AQ7:AQ38" si="10">IF(ISBLANK(AP7),"",AP7-AO7+1)</f>
        <v/>
      </c>
      <c r="AR7" s="339"/>
      <c r="AS7" s="363">
        <f t="shared" ref="AS7" si="11">IF(AR7&gt;0,AR7*38.6*IF(OR(AO7&gt;$J$7,AP7&lt;$K$7), 0, IF(AO7&lt;$J$7,AP7-$J$7,IF($K$7&lt;AP7,AP7-$K$7,AQ7)))/AQ7,0)</f>
        <v>0</v>
      </c>
      <c r="AT7" s="345" t="e" cm="1">
        <f t="array" ref="AT7">IF('Pathway B benchmarks'!F39,INDEX('Pathway B benchmarks'!F39:F56,MATCH(1,($AS$6='Pathway B benchmarks'!A39:A56)*($M$7='Pathway B benchmarks'!B39:B56),0),1))</f>
        <v>#N/A</v>
      </c>
      <c r="AU7" s="347">
        <f t="shared" ref="AU7:AU38" si="12">IFERROR($AS7*$AT7,0)</f>
        <v>0</v>
      </c>
      <c r="AV7" s="347" t="e">
        <f>IF($I7="","",IF($I7="Custom",0,INDEX('Pathway B benchmarks'!$17:$18,MATCH($I7,'Pathway B benchmarks'!$A$17:$A$18,0),MATCH($S7,'Pathway B benchmarks'!$17:$17,0))))</f>
        <v>#N/A</v>
      </c>
      <c r="AW7" s="347" t="e">
        <f>IF($I7="","",IF($I7="Custom",0,INDEX('Pathway B benchmarks'!$30:$34,2,MATCH($S7,'Pathway B benchmarks'!$30:$30,0))))</f>
        <v>#N/A</v>
      </c>
      <c r="AX7" s="345" t="e">
        <f t="shared" ref="AX7" si="13">IF($AW$7=0,1,$Q$7/$AW$7)*$AV$7</f>
        <v>#N/A</v>
      </c>
      <c r="AY7" s="353" t="e">
        <f t="shared" ref="AY7" si="14">$AX$7/1000*$Y7/0.0036</f>
        <v>#N/A</v>
      </c>
      <c r="AZ7" s="353" t="e">
        <f>$AY$7/70*100</f>
        <v>#N/A</v>
      </c>
      <c r="BA7" s="353" t="e">
        <f t="shared" ref="BA7:BA38" si="15">(Z7+AG7+AN7+AU7)/P7</f>
        <v>#N/A</v>
      </c>
      <c r="BB7" s="350">
        <f t="shared" ref="BB7:BB38" si="16">MAX(0,IFERROR(1-(BA7/(AY7/70)/100),0))</f>
        <v>0</v>
      </c>
      <c r="BC7" s="350" t="e">
        <f t="shared" ref="BC7:BC38" si="17">(1-BA7/AY7)</f>
        <v>#N/A</v>
      </c>
      <c r="BD7" s="351">
        <f>IF(OR(E7="Whole Building", E7="Hotel", E7="School", E7="Data Centre (Whole facility)", E7="Residential Aged Care", E7="Retirement Living", E7="RAC and retirement (co-located)"),VLOOKUP(BB7,'Points Table'!$B$13:$C$36,2,TRUE),IF(OR(E7="Base Building", E7="Shopping Centre", E7="Apartment", E7="Warehouse and Cold Store", E7="Data Centre (Infrastructure)"),VLOOKUP(BB7,'Points Table'!$E$13:$F$33,2,TRUE),0))</f>
        <v>0</v>
      </c>
      <c r="BE7" s="352" t="str">
        <f>IF(AND($E$7="Whole Building", $BD$7&gt;=10), "YES", IF(AND($E$7="Base Building", $BD$7&gt;=8), "YES", "NO"))</f>
        <v>NO</v>
      </c>
      <c r="BF7" s="339"/>
    </row>
    <row r="8" spans="2:58">
      <c r="B8" s="300"/>
      <c r="C8" s="300"/>
      <c r="D8" s="300"/>
      <c r="E8" s="300"/>
      <c r="F8" s="300"/>
      <c r="G8" s="300"/>
      <c r="H8" s="300"/>
      <c r="I8" s="343" t="s">
        <v>943</v>
      </c>
      <c r="J8" s="274"/>
      <c r="K8" s="274"/>
      <c r="L8" s="359">
        <f t="shared" si="0"/>
        <v>1</v>
      </c>
      <c r="M8" s="362">
        <f t="shared" si="1"/>
        <v>1900</v>
      </c>
      <c r="N8" s="300"/>
      <c r="O8" s="300"/>
      <c r="P8" s="300"/>
      <c r="Q8" s="300"/>
      <c r="R8" s="300"/>
      <c r="S8" s="300"/>
      <c r="T8" s="361"/>
      <c r="U8" s="361"/>
      <c r="V8" s="344" t="str">
        <f t="shared" si="2"/>
        <v/>
      </c>
      <c r="W8" s="339"/>
      <c r="X8" s="363">
        <f>IF(W8&gt;0,W8*0.0036*IF(OR(T8&gt;$J$8,U8&lt;$K$8), 0, IF(T8&lt;$J$8,U8-$J$8,IF($K$8&lt;U8,U8-$K$8,V8)))/V8,0)</f>
        <v>0</v>
      </c>
      <c r="Y8" s="346" t="e" cm="1">
        <f t="array" ref="Y8">IF('Pathway B benchmarks'!C61,INDEX('Pathway B benchmarks'!C61:C63,MATCH(1,($I$7='Pathway B benchmarks'!A61:A63)*($M$8='Pathway B benchmarks'!B61:B63),0),1))</f>
        <v>#N/A</v>
      </c>
      <c r="Z8" s="347" t="e">
        <f t="shared" si="4"/>
        <v>#N/A</v>
      </c>
      <c r="AA8" s="303"/>
      <c r="AB8" s="303"/>
      <c r="AC8" s="344" t="str">
        <f t="shared" si="5"/>
        <v/>
      </c>
      <c r="AD8" s="339"/>
      <c r="AE8" s="364">
        <f>IF(AD8&gt;0,AD8*0.001*IF(OR(AA8&gt;$J$8,AB8&lt;$K$8), 0, IF(AA8&lt;$J$8,AB8-$J$8,IF($K$8&lt;AB8,AB8-$K$8,AC8)))/AC8,0)</f>
        <v>0</v>
      </c>
      <c r="AF8" s="348" t="e" cm="1">
        <f t="array" ref="AF8">IF('Pathway B benchmarks'!F39,INDEX('Pathway B benchmarks'!F39:F56,MATCH(1,($AE$6='Pathway B benchmarks'!A39:A56)*($M$8='Pathway B benchmarks'!B39:B56),0),1))</f>
        <v>#N/A</v>
      </c>
      <c r="AG8" s="349">
        <f t="shared" si="6"/>
        <v>0</v>
      </c>
      <c r="AH8" s="303"/>
      <c r="AI8" s="303"/>
      <c r="AJ8" s="344" t="str">
        <f t="shared" si="7"/>
        <v/>
      </c>
      <c r="AK8" s="339"/>
      <c r="AL8" s="363">
        <f>IF(AK8&gt;0,AK8*26.2*IF(OR(AH8&gt;$J$8,AI8&lt;$K$8), 0, IF(AH8&lt;$J$8,AI8-$J$8,IF($K$8&lt;AI8,AI8-$K$8,AJ8)))/AJ8,0)</f>
        <v>0</v>
      </c>
      <c r="AM8" s="345" t="e" cm="1">
        <f t="array" ref="AM8">IF('Pathway B benchmarks'!F39,INDEX('Pathway B benchmarks'!F39:F56,MATCH(1,($AL$6='Pathway B benchmarks'!A39:A56)*($M$8='Pathway B benchmarks'!B39:B56),0),1))</f>
        <v>#N/A</v>
      </c>
      <c r="AN8" s="347">
        <f t="shared" si="9"/>
        <v>0</v>
      </c>
      <c r="AO8" s="303"/>
      <c r="AP8" s="303"/>
      <c r="AQ8" s="344" t="str">
        <f t="shared" si="10"/>
        <v/>
      </c>
      <c r="AR8" s="339"/>
      <c r="AS8" s="363">
        <f>IF(AR8&gt;0,AR8*38.6*IF(OR(AO8&gt;$J$8,AP8&lt;$K$8), 0, IF(AO8&lt;$J$8,AP8-$J$8,IF($K$8&lt;AP8,AP8-$K$8,AQ8)))/AQ8,0)</f>
        <v>0</v>
      </c>
      <c r="AT8" s="345" t="e" cm="1">
        <f t="array" ref="AT8">IF('Pathway B benchmarks'!F39,INDEX('Pathway B benchmarks'!F39:F56,MATCH(1,($AS$6='Pathway B benchmarks'!A39:A56)*($M$8='Pathway B benchmarks'!B39:B56),0),1))</f>
        <v>#N/A</v>
      </c>
      <c r="AU8" s="347">
        <f t="shared" si="12"/>
        <v>0</v>
      </c>
      <c r="AV8" s="347" t="e">
        <f>IF($I8="","",IF($I8="Custom",0,INDEX('Pathway B benchmarks'!$17:$18,MATCH($I8,'Pathway B benchmarks'!$A$17:$A$18,0),MATCH($S8,'Pathway B benchmarks'!$17:$17,0))))</f>
        <v>#N/A</v>
      </c>
      <c r="AW8" s="347" t="e">
        <f>IF($I8="","",IF($I8="Custom",0,INDEX('Pathway B benchmarks'!$30:$34,2,MATCH($S8,'Pathway B benchmarks'!$30:$30,0))))</f>
        <v>#N/A</v>
      </c>
      <c r="AX8" s="345" t="e">
        <f>IF($AW$8=0,1,$Q$8/$AW$8)*$AV$8</f>
        <v>#N/A</v>
      </c>
      <c r="AY8" s="353" t="e">
        <f>$AX$8/1000*$Y8/0.0036</f>
        <v>#N/A</v>
      </c>
      <c r="AZ8" s="353" t="e">
        <f>$AY$8/70*100</f>
        <v>#N/A</v>
      </c>
      <c r="BA8" s="353" t="e">
        <f t="shared" si="15"/>
        <v>#N/A</v>
      </c>
      <c r="BB8" s="350">
        <f t="shared" si="16"/>
        <v>0</v>
      </c>
      <c r="BC8" s="350" t="e">
        <f t="shared" si="17"/>
        <v>#N/A</v>
      </c>
      <c r="BD8" s="351">
        <f>IF(OR(E8="Whole Building", E8="Hotel", E8="School", E8="Data Centre (Whole facility)", E8="Residential Aged Care", E8="Retirement Living", E8="RAC and retirement (co-located)"),VLOOKUP(BB8,'Points Table'!$B$13:$C$36,2,TRUE),IF(OR(E8="Base Building", E8="Shopping Centre", E8="Apartment", E8="Warehouse and Cold Store", E8="Data Centre (Infrastructure)"),VLOOKUP(BB8,'Points Table'!$E$13:$F$33,2,TRUE),0))</f>
        <v>0</v>
      </c>
      <c r="BE8" s="352" t="str">
        <f>IF(AND($E$8="Whole Building", $BD$8&gt;=10), "YES", IF(AND($E$8="Base Building", $BD$8&gt;=8), "YES", "NO"))</f>
        <v>NO</v>
      </c>
      <c r="BF8" s="339"/>
    </row>
    <row r="9" spans="2:58">
      <c r="B9" s="300"/>
      <c r="C9" s="300"/>
      <c r="D9" s="300"/>
      <c r="E9" s="300"/>
      <c r="F9" s="300"/>
      <c r="G9" s="300"/>
      <c r="H9" s="300"/>
      <c r="I9" s="343" t="s">
        <v>943</v>
      </c>
      <c r="J9" s="274"/>
      <c r="K9" s="274"/>
      <c r="L9" s="359">
        <f t="shared" si="0"/>
        <v>1</v>
      </c>
      <c r="M9" s="362">
        <f t="shared" si="1"/>
        <v>1900</v>
      </c>
      <c r="N9" s="300"/>
      <c r="O9" s="300"/>
      <c r="P9" s="300"/>
      <c r="Q9" s="300"/>
      <c r="R9" s="300"/>
      <c r="S9" s="300"/>
      <c r="T9" s="361"/>
      <c r="U9" s="361"/>
      <c r="V9" s="344" t="str">
        <f t="shared" si="2"/>
        <v/>
      </c>
      <c r="W9" s="339"/>
      <c r="X9" s="363">
        <f>IF(W9&gt;0,W9*0.0036*IF(OR(T9&gt;$J$9,U9&lt;$K$9), 0, IF(T9&lt;$J$9,U9-$J$9,IF($K$9&lt;U9,U9-$K$9,V9)))/V9,0)</f>
        <v>0</v>
      </c>
      <c r="Y9" s="346" t="e" cm="1">
        <f t="array" ref="Y9">IF('Pathway B benchmarks'!C61,INDEX('Pathway B benchmarks'!C61:C63,MATCH(1,($I$7='Pathway B benchmarks'!A61:A63)*($M$9='Pathway B benchmarks'!B61:B63),0),1))</f>
        <v>#N/A</v>
      </c>
      <c r="Z9" s="347" t="e">
        <f t="shared" si="4"/>
        <v>#N/A</v>
      </c>
      <c r="AA9" s="303"/>
      <c r="AB9" s="303"/>
      <c r="AC9" s="344" t="str">
        <f t="shared" si="5"/>
        <v/>
      </c>
      <c r="AD9" s="339"/>
      <c r="AE9" s="364">
        <f>IF(AD9&gt;0,AD9*0.001*IF(OR(AA9&gt;$J$9,AB9&lt;$K$9), 0, IF(AA9&lt;$J$9,AB9-$J$9,IF($K$9&lt;AB9,AB9-$K$9,AC9)))/AC9,0)</f>
        <v>0</v>
      </c>
      <c r="AF9" s="348" t="e" cm="1">
        <f t="array" ref="AF9">IF('Pathway B benchmarks'!F39,INDEX('Pathway B benchmarks'!F39:F56,MATCH(1,($AE$6='Pathway B benchmarks'!A39:A56)*($M$9='Pathway B benchmarks'!B39:B56),0),1))</f>
        <v>#N/A</v>
      </c>
      <c r="AG9" s="349">
        <f t="shared" si="6"/>
        <v>0</v>
      </c>
      <c r="AH9" s="303"/>
      <c r="AI9" s="303"/>
      <c r="AJ9" s="344" t="str">
        <f t="shared" si="7"/>
        <v/>
      </c>
      <c r="AK9" s="339"/>
      <c r="AL9" s="363">
        <f>IF(AK9&gt;0,AK9*26.2*IF(OR(AH9&gt;$J$9,AI9&lt;$K$9), 0, IF(AH9&lt;$J$9,AI9-$J$9,IF($K$9&lt;AI9,AI9-$K$9,AJ9)))/AJ9,0)</f>
        <v>0</v>
      </c>
      <c r="AM9" s="345" t="e" cm="1">
        <f t="array" ref="AM9">IF('Pathway B benchmarks'!F39,INDEX('Pathway B benchmarks'!F39:F56,MATCH(1,($AL$6='Pathway B benchmarks'!A39:A56)*($M$9='Pathway B benchmarks'!B39:B56),0),1))</f>
        <v>#N/A</v>
      </c>
      <c r="AN9" s="347">
        <f t="shared" si="9"/>
        <v>0</v>
      </c>
      <c r="AO9" s="303"/>
      <c r="AP9" s="303"/>
      <c r="AQ9" s="344" t="str">
        <f t="shared" si="10"/>
        <v/>
      </c>
      <c r="AR9" s="339"/>
      <c r="AS9" s="363">
        <f>IF(AR9&gt;0,AR9*38.6*IF(OR(AO9&gt;$J$9,AP9&lt;$K$9), 0, IF(AO9&lt;$J$9,AP9-$J$9,IF($K$9&lt;AP9,AP9-$K$9,AQ9)))/AQ9,0)</f>
        <v>0</v>
      </c>
      <c r="AT9" s="345" t="e" cm="1">
        <f t="array" ref="AT9">IF('Pathway B benchmarks'!F39,INDEX('Pathway B benchmarks'!F39:F56,MATCH(1,($AS$6='Pathway B benchmarks'!A39:A56)*($M$9='Pathway B benchmarks'!B39:B56),0),1))</f>
        <v>#N/A</v>
      </c>
      <c r="AU9" s="347">
        <f t="shared" si="12"/>
        <v>0</v>
      </c>
      <c r="AV9" s="347" t="e">
        <f>IF($I9="","",IF($I9="Custom",0,INDEX('Pathway B benchmarks'!$17:$18,MATCH($I9,'Pathway B benchmarks'!$A$17:$A$18,0),MATCH($S9,'Pathway B benchmarks'!$17:$17,0))))</f>
        <v>#N/A</v>
      </c>
      <c r="AW9" s="347" t="e">
        <f>IF($I9="","",IF($I9="Custom",0,INDEX('Pathway B benchmarks'!$30:$34,2,MATCH($S9,'Pathway B benchmarks'!$30:$30,0))))</f>
        <v>#N/A</v>
      </c>
      <c r="AX9" s="345" t="e">
        <f>IF($AW$9=0,1,$Q$9/$AW$9)*$AV$9</f>
        <v>#N/A</v>
      </c>
      <c r="AY9" s="353" t="e">
        <f>$AX$9/1000*$Y9/0.0036</f>
        <v>#N/A</v>
      </c>
      <c r="AZ9" s="353" t="e">
        <f>$AY$9/70*100</f>
        <v>#N/A</v>
      </c>
      <c r="BA9" s="353" t="e">
        <f t="shared" si="15"/>
        <v>#N/A</v>
      </c>
      <c r="BB9" s="350">
        <f t="shared" si="16"/>
        <v>0</v>
      </c>
      <c r="BC9" s="350" t="e">
        <f t="shared" si="17"/>
        <v>#N/A</v>
      </c>
      <c r="BD9" s="351">
        <f>IF(OR(E9="Whole Building", E9="Hotel", E9="School", E9="Data Centre (Whole facility)", E9="Residential Aged Care", E9="Retirement Living", E9="RAC and retirement (co-located)"),VLOOKUP(BB9,'Points Table'!$B$13:$C$36,2,TRUE),IF(OR(E9="Base Building", E9="Shopping Centre", E9="Apartment", E9="Warehouse and Cold Store", E9="Data Centre (Infrastructure)"),VLOOKUP(BB9,'Points Table'!$E$13:$F$33,2,TRUE),0))</f>
        <v>0</v>
      </c>
      <c r="BE9" s="352" t="str">
        <f>IF(AND($E$9="Whole Building", $BD$9&gt;=10), "YES", IF(AND($E$9="Base Building", $BD$9&gt;=8), "YES", "NO"))</f>
        <v>NO</v>
      </c>
    </row>
    <row r="10" spans="2:58">
      <c r="B10" s="300"/>
      <c r="C10" s="300"/>
      <c r="D10" s="300"/>
      <c r="E10" s="300"/>
      <c r="F10" s="300"/>
      <c r="G10" s="300"/>
      <c r="H10" s="300"/>
      <c r="I10" s="343" t="s">
        <v>943</v>
      </c>
      <c r="J10" s="274"/>
      <c r="K10" s="274"/>
      <c r="L10" s="359">
        <f t="shared" si="0"/>
        <v>1</v>
      </c>
      <c r="M10" s="362">
        <f t="shared" si="1"/>
        <v>1900</v>
      </c>
      <c r="N10" s="300"/>
      <c r="O10" s="300"/>
      <c r="P10" s="300"/>
      <c r="Q10" s="300"/>
      <c r="R10" s="300"/>
      <c r="S10" s="300"/>
      <c r="T10" s="361"/>
      <c r="U10" s="361"/>
      <c r="V10" s="344" t="str">
        <f t="shared" si="2"/>
        <v/>
      </c>
      <c r="W10" s="339"/>
      <c r="X10" s="363">
        <f>IF(W10&gt;0,W10*0.0036*IF(OR(T10&gt;$J$10,U10&lt;$K$10), 0, IF(T10&lt;$J$10,U10-$J$10,IF($K$10&lt;U10,U10-$K$10,V10)))/V10,0)</f>
        <v>0</v>
      </c>
      <c r="Y10" s="346" t="e" cm="1">
        <f t="array" ref="Y10">IF('Pathway B benchmarks'!C61,INDEX('Pathway B benchmarks'!C61:C63,MATCH(1,($I$7='Pathway B benchmarks'!A61:A63)*($M$10='Pathway B benchmarks'!B61:B63),0),1))</f>
        <v>#N/A</v>
      </c>
      <c r="Z10" s="347" t="e">
        <f t="shared" si="4"/>
        <v>#N/A</v>
      </c>
      <c r="AA10" s="303"/>
      <c r="AB10" s="303"/>
      <c r="AC10" s="344" t="str">
        <f t="shared" si="5"/>
        <v/>
      </c>
      <c r="AD10" s="339"/>
      <c r="AE10" s="364">
        <f>IF(AD10&gt;0,AD10*0.001*IF(OR(AA10&gt;$J$10,AB10&lt;$K$10), 0, IF(AA10&lt;$J$10,AB10-$J$10,IF($K$10&lt;AB10,AB10-$K$10,AC10)))/AC10,0)</f>
        <v>0</v>
      </c>
      <c r="AF10" s="348" t="e" cm="1">
        <f t="array" ref="AF10">IF('Pathway B benchmarks'!F39,INDEX('Pathway B benchmarks'!F39:F56,MATCH(1,($AE$6='Pathway B benchmarks'!A39:A56)*($M$10='Pathway B benchmarks'!B39:B56),0),1))</f>
        <v>#N/A</v>
      </c>
      <c r="AG10" s="349">
        <f t="shared" si="6"/>
        <v>0</v>
      </c>
      <c r="AH10" s="303"/>
      <c r="AI10" s="303"/>
      <c r="AJ10" s="344" t="str">
        <f t="shared" si="7"/>
        <v/>
      </c>
      <c r="AK10" s="339"/>
      <c r="AL10" s="363">
        <f>IF(AK10&gt;0,AK10*26.2*IF(OR(AH10&gt;$J$10,AI10&lt;$K$10), 0, IF(AH10&lt;$J$10,AI10-$J$10,IF($K$10&lt;AI10,AI10-$K$10,AJ10)))/AJ10,0)</f>
        <v>0</v>
      </c>
      <c r="AM10" s="345" t="e" cm="1">
        <f t="array" ref="AM10">IF('Pathway B benchmarks'!F39,INDEX('Pathway B benchmarks'!F39:F56,MATCH(1,($AL$6='Pathway B benchmarks'!A39:A56)*($M$10='Pathway B benchmarks'!B39:B56),0),1))</f>
        <v>#N/A</v>
      </c>
      <c r="AN10" s="347">
        <f t="shared" si="9"/>
        <v>0</v>
      </c>
      <c r="AO10" s="303"/>
      <c r="AP10" s="303"/>
      <c r="AQ10" s="344" t="str">
        <f t="shared" si="10"/>
        <v/>
      </c>
      <c r="AR10" s="339"/>
      <c r="AS10" s="363">
        <f>IF(AR10&gt;0,AR10*38.6*IF(OR(AO10&gt;$J$10,AP10&lt;$K$10), 0, IF(AO10&lt;$J$10,AP10-$J$10,IF($K$10&lt;AP10,AP10-$K$10,AQ10)))/AQ10,0)</f>
        <v>0</v>
      </c>
      <c r="AT10" s="345" t="e" cm="1">
        <f t="array" ref="AT10">IF('Pathway B benchmarks'!F39,INDEX('Pathway B benchmarks'!F39:F56,MATCH(1,($AS$6='Pathway B benchmarks'!A39:A56)*($M$10='Pathway B benchmarks'!B39:B56),0),1))</f>
        <v>#N/A</v>
      </c>
      <c r="AU10" s="347">
        <f t="shared" si="12"/>
        <v>0</v>
      </c>
      <c r="AV10" s="347" t="e">
        <f>IF($I10="","",IF($I10="Custom",0,INDEX('Pathway B benchmarks'!$17:$18,MATCH($I10,'Pathway B benchmarks'!$A$17:$A$18,0),MATCH($S10,'Pathway B benchmarks'!$17:$17,0))))</f>
        <v>#N/A</v>
      </c>
      <c r="AW10" s="347" t="e">
        <f>IF($I10="","",IF($I10="Custom",0,INDEX('Pathway B benchmarks'!$30:$34,2,MATCH($S10,'Pathway B benchmarks'!$30:$30,0))))</f>
        <v>#N/A</v>
      </c>
      <c r="AX10" s="345" t="e">
        <f>IF($AW$10=0,1,$Q$10/$AW$10)*$AV$10</f>
        <v>#N/A</v>
      </c>
      <c r="AY10" s="353" t="e">
        <f>$AX$10/1000*$Y10/0.0036</f>
        <v>#N/A</v>
      </c>
      <c r="AZ10" s="353" t="e">
        <f>$AY$10/70*100</f>
        <v>#N/A</v>
      </c>
      <c r="BA10" s="353" t="e">
        <f t="shared" si="15"/>
        <v>#N/A</v>
      </c>
      <c r="BB10" s="350">
        <f t="shared" si="16"/>
        <v>0</v>
      </c>
      <c r="BC10" s="350" t="e">
        <f t="shared" si="17"/>
        <v>#N/A</v>
      </c>
      <c r="BD10" s="351">
        <f>IF(OR(E10="Whole Building", E10="Hotel", E10="School", E10="Data Centre (Whole facility)", E10="Residential Aged Care", E10="Retirement Living", E10="RAC and retirement (co-located)"),VLOOKUP(BB10,'Points Table'!$B$13:$C$36,2,TRUE),IF(OR(E10="Base Building", E10="Shopping Centre", E10="Apartment", E10="Warehouse and Cold Store", E10="Data Centre (Infrastructure)"),VLOOKUP(BB10,'Points Table'!$E$13:$F$33,2,TRUE),0))</f>
        <v>0</v>
      </c>
      <c r="BE10" s="352" t="str">
        <f>IF(AND($E$10="Whole Building", $BD$10&gt;=10), "YES", IF(AND($E$10="Base Building", $BD$10&gt;=8), "YES", "NO"))</f>
        <v>NO</v>
      </c>
    </row>
    <row r="11" spans="2:58">
      <c r="B11" s="300"/>
      <c r="C11" s="300"/>
      <c r="D11" s="300"/>
      <c r="E11" s="300"/>
      <c r="F11" s="300"/>
      <c r="G11" s="300"/>
      <c r="H11" s="300"/>
      <c r="I11" s="343" t="s">
        <v>943</v>
      </c>
      <c r="J11" s="274"/>
      <c r="K11" s="274"/>
      <c r="L11" s="359">
        <f t="shared" si="0"/>
        <v>1</v>
      </c>
      <c r="M11" s="362">
        <f t="shared" si="1"/>
        <v>1900</v>
      </c>
      <c r="N11" s="300"/>
      <c r="O11" s="300"/>
      <c r="P11" s="300"/>
      <c r="Q11" s="300"/>
      <c r="R11" s="300"/>
      <c r="S11" s="300"/>
      <c r="T11" s="361"/>
      <c r="U11" s="361"/>
      <c r="V11" s="344" t="str">
        <f t="shared" si="2"/>
        <v/>
      </c>
      <c r="W11" s="339"/>
      <c r="X11" s="363">
        <f>IF(W11&gt;0,W11*0.0036*IF(OR(T11&gt;$J$11,U11&lt;$K$11), 0, IF(T11&lt;$J$11,U11-$J$11,IF($K$11&lt;U11,U11-$K$11,V11)))/V11,0)</f>
        <v>0</v>
      </c>
      <c r="Y11" s="346" t="e" cm="1">
        <f t="array" ref="Y11">IF('Pathway B benchmarks'!C61,INDEX('Pathway B benchmarks'!C61:C63,MATCH(1,($I$7='Pathway B benchmarks'!A61:A63)*($M$11='Pathway B benchmarks'!B61:B63),0),1))</f>
        <v>#N/A</v>
      </c>
      <c r="Z11" s="347" t="e">
        <f t="shared" si="4"/>
        <v>#N/A</v>
      </c>
      <c r="AA11" s="303"/>
      <c r="AB11" s="303"/>
      <c r="AC11" s="344" t="str">
        <f t="shared" si="5"/>
        <v/>
      </c>
      <c r="AD11" s="339"/>
      <c r="AE11" s="364">
        <f>IF(AD11&gt;0,AD11*0.001*IF(OR(AA11&gt;$J$11,AB11&lt;$K$11), 0, IF(AA11&lt;$J$11,AB11-$J$11,IF($K$11&lt;AB11,AB11-$K$11,AC11)))/AC11,0)</f>
        <v>0</v>
      </c>
      <c r="AF11" s="348" t="e" cm="1">
        <f t="array" ref="AF11">IF('Pathway B benchmarks'!F39,INDEX('Pathway B benchmarks'!F39:F56,MATCH(1,($AE$6='Pathway B benchmarks'!A39:A56)*($M$11='Pathway B benchmarks'!B39:B56),0),1))</f>
        <v>#N/A</v>
      </c>
      <c r="AG11" s="349">
        <f t="shared" si="6"/>
        <v>0</v>
      </c>
      <c r="AH11" s="303"/>
      <c r="AI11" s="303"/>
      <c r="AJ11" s="344" t="str">
        <f t="shared" si="7"/>
        <v/>
      </c>
      <c r="AK11" s="339"/>
      <c r="AL11" s="363">
        <f>IF(AK11&gt;0,AK11*26.2*IF(OR(AH11&gt;$J$11,AI11&lt;$K$11), 0, IF(AH11&lt;$J$11,AI11-$J$11,IF($K$11&lt;AI11,AI11-$K$11,AJ11)))/AJ11,0)</f>
        <v>0</v>
      </c>
      <c r="AM11" s="345" t="e" cm="1">
        <f t="array" ref="AM11">IF('Pathway B benchmarks'!F39,INDEX('Pathway B benchmarks'!F39:F56,MATCH(1,($AL$6='Pathway B benchmarks'!A39:A56)*($M$11='Pathway B benchmarks'!B39:B56),0),1))</f>
        <v>#N/A</v>
      </c>
      <c r="AN11" s="347">
        <f t="shared" si="9"/>
        <v>0</v>
      </c>
      <c r="AO11" s="303"/>
      <c r="AP11" s="303"/>
      <c r="AQ11" s="344" t="str">
        <f t="shared" si="10"/>
        <v/>
      </c>
      <c r="AR11" s="339"/>
      <c r="AS11" s="363">
        <f>IF(AR11&gt;0,AR11*38.6*IF(OR(AO11&gt;$J$11,AP11&lt;$K$11), 0, IF(AO11&lt;$J$11,AP11-$J$11,IF($K$11&lt;AP11,AP11-$K$11,AQ11)))/AQ11,0)</f>
        <v>0</v>
      </c>
      <c r="AT11" s="345" t="e" cm="1">
        <f t="array" ref="AT11">IF('Pathway B benchmarks'!F39,INDEX('Pathway B benchmarks'!F39:F56,MATCH(1,($AS$6='Pathway B benchmarks'!A39:A56)*($M$11='Pathway B benchmarks'!B39:B56),0),1))</f>
        <v>#N/A</v>
      </c>
      <c r="AU11" s="347">
        <f t="shared" si="12"/>
        <v>0</v>
      </c>
      <c r="AV11" s="347" t="e">
        <f>IF($I11="","",IF($I11="Custom",0,INDEX('Pathway B benchmarks'!$17:$18,MATCH($I11,'Pathway B benchmarks'!$A$17:$A$18,0),MATCH($S11,'Pathway B benchmarks'!$17:$17,0))))</f>
        <v>#N/A</v>
      </c>
      <c r="AW11" s="347" t="e">
        <f>IF($I11="","",IF($I11="Custom",0,INDEX('Pathway B benchmarks'!$30:$34,2,MATCH($S11,'Pathway B benchmarks'!$30:$30,0))))</f>
        <v>#N/A</v>
      </c>
      <c r="AX11" s="345" t="e">
        <f>IF($AW$11=0,1,$Q$11/$AW$11)*$AV$11</f>
        <v>#N/A</v>
      </c>
      <c r="AY11" s="353" t="e">
        <f>$AX$11/1000*$Y11/0.0036</f>
        <v>#N/A</v>
      </c>
      <c r="AZ11" s="353" t="e">
        <f>$AY$11/70*100</f>
        <v>#N/A</v>
      </c>
      <c r="BA11" s="353" t="e">
        <f t="shared" si="15"/>
        <v>#N/A</v>
      </c>
      <c r="BB11" s="350">
        <f t="shared" si="16"/>
        <v>0</v>
      </c>
      <c r="BC11" s="350" t="e">
        <f t="shared" si="17"/>
        <v>#N/A</v>
      </c>
      <c r="BD11" s="351">
        <f>IF(OR(E11="Whole Building", E11="Hotel", E11="School", E11="Data Centre (Whole facility)", E11="Residential Aged Care", E11="Retirement Living", E11="RAC and retirement (co-located)"),VLOOKUP(BB11,'Points Table'!$B$13:$C$36,2,TRUE),IF(OR(E11="Base Building", E11="Shopping Centre", E11="Apartment", E11="Warehouse and Cold Store", E11="Data Centre (Infrastructure)"),VLOOKUP(BB11,'Points Table'!$E$13:$F$33,2,TRUE),0))</f>
        <v>0</v>
      </c>
      <c r="BE11" s="352" t="str">
        <f>IF(AND($E$11="Whole Building", $BD$11&gt;=10), "YES", IF(AND($E$11="Base Building", $BD$11&gt;=8), "YES", "NO"))</f>
        <v>NO</v>
      </c>
    </row>
    <row r="12" spans="2:58">
      <c r="B12" s="300"/>
      <c r="C12" s="300"/>
      <c r="D12" s="300"/>
      <c r="E12" s="300"/>
      <c r="F12" s="300"/>
      <c r="G12" s="300"/>
      <c r="H12" s="300"/>
      <c r="I12" s="343" t="s">
        <v>943</v>
      </c>
      <c r="J12" s="274"/>
      <c r="K12" s="274"/>
      <c r="L12" s="359">
        <f t="shared" si="0"/>
        <v>1</v>
      </c>
      <c r="M12" s="362">
        <f t="shared" si="1"/>
        <v>1900</v>
      </c>
      <c r="N12" s="300"/>
      <c r="O12" s="300"/>
      <c r="P12" s="300"/>
      <c r="Q12" s="300"/>
      <c r="R12" s="300"/>
      <c r="S12" s="300"/>
      <c r="T12" s="303"/>
      <c r="U12" s="303"/>
      <c r="V12" s="344" t="str">
        <f t="shared" si="2"/>
        <v/>
      </c>
      <c r="W12" s="339"/>
      <c r="X12" s="363">
        <f>IF(W12&gt;0,W12*0.0036*IF(OR(T12&gt;$J$12,U12&lt;$K$12), 0, IF(T12&lt;$J$12,U12-$J$12,IF($K$12&lt;U12,U12-$K$12,V12)))/V12,0)</f>
        <v>0</v>
      </c>
      <c r="Y12" s="346" t="e" cm="1">
        <f t="array" ref="Y12">IF('Pathway B benchmarks'!C61,INDEX('Pathway B benchmarks'!C61:C63,MATCH(1,($I$7='Pathway B benchmarks'!A61:A63)*($M$12='Pathway B benchmarks'!B61:B63),0),1))</f>
        <v>#N/A</v>
      </c>
      <c r="Z12" s="347" t="e">
        <f t="shared" si="4"/>
        <v>#N/A</v>
      </c>
      <c r="AA12" s="303"/>
      <c r="AB12" s="303"/>
      <c r="AC12" s="344" t="str">
        <f t="shared" si="5"/>
        <v/>
      </c>
      <c r="AD12" s="339"/>
      <c r="AE12" s="364">
        <f>IF(AD12&gt;0,AD12*0.001*IF(OR(AA12&gt;$J$12,AB12&lt;$K$12), 0, IF(AA12&lt;$J$12,AB12-$J$12,IF($K$12&lt;AB12,AB12-$K$12,AC12)))/AC12,0)</f>
        <v>0</v>
      </c>
      <c r="AF12" s="348" t="e" cm="1">
        <f t="array" ref="AF12">IF('Pathway B benchmarks'!F39,INDEX('Pathway B benchmarks'!F39:F56,MATCH(1,($AE$6='Pathway B benchmarks'!A39:A56)*($M$12='Pathway B benchmarks'!B39:B56),0),1))</f>
        <v>#N/A</v>
      </c>
      <c r="AG12" s="349">
        <f t="shared" si="6"/>
        <v>0</v>
      </c>
      <c r="AH12" s="303"/>
      <c r="AI12" s="303"/>
      <c r="AJ12" s="344" t="str">
        <f t="shared" si="7"/>
        <v/>
      </c>
      <c r="AK12" s="339"/>
      <c r="AL12" s="363">
        <f>IF(AK12&gt;0,AK12*26.2*IF(OR(AH12&gt;$J$12,AI12&lt;$K$12), 0, IF(AH12&lt;$J$12,AI12-$J$12,IF($K$12&lt;AI12,AI12-$K$12,AJ12)))/AJ12,0)</f>
        <v>0</v>
      </c>
      <c r="AM12" s="345" t="e" cm="1">
        <f t="array" ref="AM12">IF('Pathway B benchmarks'!F39,INDEX('Pathway B benchmarks'!F39:F56,MATCH(1,($AL$6='Pathway B benchmarks'!A39:A56)*($M$12='Pathway B benchmarks'!B39:B56),0),1))</f>
        <v>#N/A</v>
      </c>
      <c r="AN12" s="347">
        <f t="shared" si="9"/>
        <v>0</v>
      </c>
      <c r="AO12" s="303"/>
      <c r="AP12" s="303"/>
      <c r="AQ12" s="344" t="str">
        <f t="shared" si="10"/>
        <v/>
      </c>
      <c r="AR12" s="339"/>
      <c r="AS12" s="363">
        <f>IF(AR12&gt;0,AR12*38.6*IF(OR(AO12&gt;$J$12,AP12&lt;$K$12), 0, IF(AO12&lt;$J$12,AP12-$J$12,IF($K$12&lt;AP12,AP12-$K$12,AQ12)))/AQ12,0)</f>
        <v>0</v>
      </c>
      <c r="AT12" s="345" t="e" cm="1">
        <f t="array" ref="AT12">IF('Pathway B benchmarks'!F39,INDEX('Pathway B benchmarks'!F39:F56,MATCH(1,($AS$6='Pathway B benchmarks'!A39:A56)*($M$12='Pathway B benchmarks'!B39:B56),0),1))</f>
        <v>#N/A</v>
      </c>
      <c r="AU12" s="347">
        <f t="shared" si="12"/>
        <v>0</v>
      </c>
      <c r="AV12" s="347" t="e">
        <f>IF($I12="","",IF($I12="Custom",0,INDEX('Pathway B benchmarks'!$17:$18,MATCH($I12,'Pathway B benchmarks'!$A$17:$A$18,0),MATCH($S12,'Pathway B benchmarks'!$17:$17,0))))</f>
        <v>#N/A</v>
      </c>
      <c r="AW12" s="347" t="e">
        <f>IF($I12="","",IF($I12="Custom",0,INDEX('Pathway B benchmarks'!$30:$34,2,MATCH($S12,'Pathway B benchmarks'!$30:$30,0))))</f>
        <v>#N/A</v>
      </c>
      <c r="AX12" s="345" t="e">
        <f>IF($AW$12=0,1,$Q$12/$AW$12)*$AV$12</f>
        <v>#N/A</v>
      </c>
      <c r="AY12" s="353" t="e">
        <f>$AX$12/1000*$Y12/0.0036</f>
        <v>#N/A</v>
      </c>
      <c r="AZ12" s="353" t="e">
        <f>$AY$12/70*100</f>
        <v>#N/A</v>
      </c>
      <c r="BA12" s="353" t="e">
        <f t="shared" si="15"/>
        <v>#N/A</v>
      </c>
      <c r="BB12" s="350">
        <f t="shared" si="16"/>
        <v>0</v>
      </c>
      <c r="BC12" s="350" t="e">
        <f t="shared" si="17"/>
        <v>#N/A</v>
      </c>
      <c r="BD12" s="351">
        <f>IF(OR(E12="Whole Building", E12="Hotel", E12="School", E12="Data Centre (Whole facility)", E12="Residential Aged Care", E12="Retirement Living", E12="RAC and retirement (co-located)"),VLOOKUP(BB12,'Points Table'!$B$13:$C$36,2,TRUE),IF(OR(E12="Base Building", E12="Shopping Centre", E12="Apartment", E12="Warehouse and Cold Store", E12="Data Centre (Infrastructure)"),VLOOKUP(BB12,'Points Table'!$E$13:$F$33,2,TRUE),0))</f>
        <v>0</v>
      </c>
      <c r="BE12" s="352" t="str">
        <f>IF(AND($E$12="Whole Building", $BD$12&gt;=10), "YES", IF(AND($E$12="Base Building", $BD$12&gt;=8), "YES", "NO"))</f>
        <v>NO</v>
      </c>
    </row>
    <row r="13" spans="2:58">
      <c r="B13" s="300"/>
      <c r="C13" s="300"/>
      <c r="D13" s="300"/>
      <c r="E13" s="300"/>
      <c r="F13" s="300"/>
      <c r="G13" s="300"/>
      <c r="H13" s="300"/>
      <c r="I13" s="343" t="s">
        <v>943</v>
      </c>
      <c r="J13" s="274"/>
      <c r="K13" s="274"/>
      <c r="L13" s="359">
        <f t="shared" si="0"/>
        <v>1</v>
      </c>
      <c r="M13" s="362">
        <f t="shared" si="1"/>
        <v>1900</v>
      </c>
      <c r="N13" s="300"/>
      <c r="O13" s="300"/>
      <c r="P13" s="300"/>
      <c r="Q13" s="300"/>
      <c r="R13" s="300"/>
      <c r="S13" s="300"/>
      <c r="T13" s="303"/>
      <c r="U13" s="303"/>
      <c r="V13" s="344" t="str">
        <f t="shared" si="2"/>
        <v/>
      </c>
      <c r="W13" s="339"/>
      <c r="X13" s="363">
        <f>IF(W13&gt;0,W13*0.0036*IF(OR(T13&gt;$J$13,U13&lt;$K$13), 0, IF(T13&lt;$J$13,U13-$J$13,IF($K$13&lt;U13,U13-$K$13,V13)))/V13,0)</f>
        <v>0</v>
      </c>
      <c r="Y13" s="346" t="e" cm="1">
        <f t="array" ref="Y13">IF('Pathway B benchmarks'!C61,INDEX('Pathway B benchmarks'!C61:C63,MATCH(1,($I$7='Pathway B benchmarks'!A61:A63)*($M$13='Pathway B benchmarks'!B61:B63),0),1))</f>
        <v>#N/A</v>
      </c>
      <c r="Z13" s="347" t="e">
        <f t="shared" si="4"/>
        <v>#N/A</v>
      </c>
      <c r="AA13" s="303"/>
      <c r="AB13" s="303"/>
      <c r="AC13" s="344" t="str">
        <f t="shared" si="5"/>
        <v/>
      </c>
      <c r="AD13" s="339"/>
      <c r="AE13" s="364">
        <f>IF(AD13&gt;0,AD13*0.001*IF(OR(AA13&gt;$J$13,AB13&lt;$K$13), 0, IF(AA13&lt;$J$13,AB13-$J$13,IF($K$13&lt;AB13,AB13-$K$13,AC13)))/AC13,0)</f>
        <v>0</v>
      </c>
      <c r="AF13" s="348" t="e" cm="1">
        <f t="array" ref="AF13">IF('Pathway B benchmarks'!F39,INDEX('Pathway B benchmarks'!F39:F56,MATCH(1,($AE$6='Pathway B benchmarks'!A39:A56)*($M$13='Pathway B benchmarks'!B39:B56),0),1))</f>
        <v>#N/A</v>
      </c>
      <c r="AG13" s="349">
        <f t="shared" si="6"/>
        <v>0</v>
      </c>
      <c r="AH13" s="303"/>
      <c r="AI13" s="303"/>
      <c r="AJ13" s="344" t="str">
        <f t="shared" si="7"/>
        <v/>
      </c>
      <c r="AK13" s="339"/>
      <c r="AL13" s="363">
        <f>IF(AK13&gt;0,AK13*26.2*IF(OR(AH13&gt;$J$13,AI13&lt;$K$13), 0, IF(AH13&lt;$J$13,AI13-$J$13,IF($K$13&lt;AI13,AI13-$K$13,AJ13)))/AJ13,0)</f>
        <v>0</v>
      </c>
      <c r="AM13" s="345" t="e" cm="1">
        <f t="array" ref="AM13">IF('Pathway B benchmarks'!F39,INDEX('Pathway B benchmarks'!F39:F56,MATCH(1,($AL$6='Pathway B benchmarks'!A39:A56)*($M$13='Pathway B benchmarks'!B39:B56),0),1))</f>
        <v>#N/A</v>
      </c>
      <c r="AN13" s="347">
        <f t="shared" si="9"/>
        <v>0</v>
      </c>
      <c r="AO13" s="303"/>
      <c r="AP13" s="303"/>
      <c r="AQ13" s="344" t="str">
        <f t="shared" si="10"/>
        <v/>
      </c>
      <c r="AR13" s="339"/>
      <c r="AS13" s="363">
        <f>IF(AR13&gt;0,AR13*38.6*IF(OR(AO13&gt;$J$13,AP13&lt;$K$13), 0, IF(AO13&lt;$J$13,AP13-$J$13,IF($K$13&lt;AP13,AP13-$K$13,AQ13)))/AQ13,0)</f>
        <v>0</v>
      </c>
      <c r="AT13" s="345" t="e" cm="1">
        <f t="array" ref="AT13">IF('Pathway B benchmarks'!F39,INDEX('Pathway B benchmarks'!F39:F56,MATCH(1,($AS$6='Pathway B benchmarks'!A39:A56)*($M$13='Pathway B benchmarks'!B39:B56),0),1))</f>
        <v>#N/A</v>
      </c>
      <c r="AU13" s="347">
        <f t="shared" si="12"/>
        <v>0</v>
      </c>
      <c r="AV13" s="347" t="e">
        <f>IF($I13="","",IF($I13="Custom",0,INDEX('Pathway B benchmarks'!$17:$18,MATCH($I13,'Pathway B benchmarks'!$A$17:$A$18,0),MATCH($S13,'Pathway B benchmarks'!$17:$17,0))))</f>
        <v>#N/A</v>
      </c>
      <c r="AW13" s="347" t="e">
        <f>IF($I13="","",IF($I13="Custom",0,INDEX('Pathway B benchmarks'!$30:$34,2,MATCH($S13,'Pathway B benchmarks'!$30:$30,0))))</f>
        <v>#N/A</v>
      </c>
      <c r="AX13" s="345" t="e">
        <f>IF($AW$13=0,1,$Q$13/$AW$13)*$AV$13</f>
        <v>#N/A</v>
      </c>
      <c r="AY13" s="353" t="e">
        <f>$AX$13/1000*$Y13/0.0036</f>
        <v>#N/A</v>
      </c>
      <c r="AZ13" s="353" t="e">
        <f>$AY$13/70*100</f>
        <v>#N/A</v>
      </c>
      <c r="BA13" s="353" t="e">
        <f t="shared" si="15"/>
        <v>#N/A</v>
      </c>
      <c r="BB13" s="350">
        <f t="shared" si="16"/>
        <v>0</v>
      </c>
      <c r="BC13" s="350" t="e">
        <f t="shared" si="17"/>
        <v>#N/A</v>
      </c>
      <c r="BD13" s="351">
        <f>IF(OR(E13="Whole Building", E13="Hotel", E13="School", E13="Data Centre (Whole facility)", E13="Residential Aged Care", E13="Retirement Living", E13="RAC and retirement (co-located)"),VLOOKUP(BB13,'Points Table'!$B$13:$C$36,2,TRUE),IF(OR(E13="Base Building", E13="Shopping Centre", E13="Apartment", E13="Warehouse and Cold Store", E13="Data Centre (Infrastructure)"),VLOOKUP(BB13,'Points Table'!$E$13:$F$33,2,TRUE),0))</f>
        <v>0</v>
      </c>
      <c r="BE13" s="352" t="str">
        <f>IF(AND($E$13="Whole Building", $BD$13&gt;=10), "YES", IF(AND($E$13="Base Building", $BD$13&gt;=8), "YES", "NO"))</f>
        <v>NO</v>
      </c>
    </row>
    <row r="14" spans="2:58">
      <c r="B14" s="300"/>
      <c r="C14" s="300"/>
      <c r="D14" s="300"/>
      <c r="E14" s="300"/>
      <c r="F14" s="300"/>
      <c r="G14" s="300"/>
      <c r="H14" s="300"/>
      <c r="I14" s="343" t="s">
        <v>943</v>
      </c>
      <c r="J14" s="274"/>
      <c r="K14" s="274"/>
      <c r="L14" s="359">
        <f t="shared" si="0"/>
        <v>1</v>
      </c>
      <c r="M14" s="362">
        <f t="shared" si="1"/>
        <v>1900</v>
      </c>
      <c r="N14" s="300"/>
      <c r="O14" s="300"/>
      <c r="P14" s="300"/>
      <c r="Q14" s="300"/>
      <c r="R14" s="300"/>
      <c r="S14" s="300"/>
      <c r="T14" s="303"/>
      <c r="U14" s="303"/>
      <c r="V14" s="344" t="str">
        <f t="shared" si="2"/>
        <v/>
      </c>
      <c r="W14" s="339"/>
      <c r="X14" s="363">
        <f>IF(W14&gt;0,W14*0.0036*IF(OR(T14&gt;$J$14,U14&lt;$K$14), 0, IF(T14&lt;$J$14,U14-$J$14,IF($K$14&lt;U14,U14-$K$14,V14)))/V14,0)</f>
        <v>0</v>
      </c>
      <c r="Y14" s="346" t="e" cm="1">
        <f t="array" ref="Y14">IF('Pathway B benchmarks'!C61,INDEX('Pathway B benchmarks'!C61:C63,MATCH(1,($I$7='Pathway B benchmarks'!A61:A63)*($M$14='Pathway B benchmarks'!B61:B63),0),1))</f>
        <v>#N/A</v>
      </c>
      <c r="Z14" s="347" t="e">
        <f t="shared" si="4"/>
        <v>#N/A</v>
      </c>
      <c r="AA14" s="303"/>
      <c r="AB14" s="303"/>
      <c r="AC14" s="344" t="str">
        <f t="shared" si="5"/>
        <v/>
      </c>
      <c r="AD14" s="339"/>
      <c r="AE14" s="364">
        <f>IF(AD14&gt;0,AD14*0.001*IF(OR(AA14&gt;$J$14,AB14&lt;$K$14), 0, IF(AA14&lt;$J$14,AB14-$J$14,IF($K$14&lt;AB14,AB14-$K$14,AC14)))/AC14,0)</f>
        <v>0</v>
      </c>
      <c r="AF14" s="348" t="e" cm="1">
        <f t="array" ref="AF14">IF('Pathway B benchmarks'!F39,INDEX('Pathway B benchmarks'!F39:F56,MATCH(1,($AE$6='Pathway B benchmarks'!A39:A56)*($M$14='Pathway B benchmarks'!B39:B56),0),1))</f>
        <v>#N/A</v>
      </c>
      <c r="AG14" s="349">
        <f t="shared" si="6"/>
        <v>0</v>
      </c>
      <c r="AH14" s="303"/>
      <c r="AI14" s="303"/>
      <c r="AJ14" s="344" t="str">
        <f t="shared" si="7"/>
        <v/>
      </c>
      <c r="AK14" s="339"/>
      <c r="AL14" s="363">
        <f>IF(AK14&gt;0,AK14*26.2*IF(OR(AH14&gt;$J$14,AI14&lt;$K$14), 0, IF(AH14&lt;$J$14,AI14-$J$14,IF($K$14&lt;AI14,AI14-$K$14,AJ14)))/AJ14,0)</f>
        <v>0</v>
      </c>
      <c r="AM14" s="345" t="e" cm="1">
        <f t="array" ref="AM14">IF('Pathway B benchmarks'!F39,INDEX('Pathway B benchmarks'!F39:F56,MATCH(1,($AL$6='Pathway B benchmarks'!A39:A56)*($M$14='Pathway B benchmarks'!B39:B56),0),1))</f>
        <v>#N/A</v>
      </c>
      <c r="AN14" s="347">
        <f t="shared" si="9"/>
        <v>0</v>
      </c>
      <c r="AO14" s="303"/>
      <c r="AP14" s="303"/>
      <c r="AQ14" s="344" t="str">
        <f t="shared" si="10"/>
        <v/>
      </c>
      <c r="AR14" s="339"/>
      <c r="AS14" s="363">
        <f>IF(AR14&gt;0,AR14*38.6*IF(OR(AO14&gt;$J$14,AP14&lt;$K$14), 0, IF(AO14&lt;$J$14,AP14-$J$14,IF($K$14&lt;AP14,AP14-$K$14,AQ14)))/AQ14,0)</f>
        <v>0</v>
      </c>
      <c r="AT14" s="345" t="e" cm="1">
        <f t="array" ref="AT14">IF('Pathway B benchmarks'!F39,INDEX('Pathway B benchmarks'!F39:F56,MATCH(1,($AS$6='Pathway B benchmarks'!A39:A56)*($M$14='Pathway B benchmarks'!B39:B56),0),1))</f>
        <v>#N/A</v>
      </c>
      <c r="AU14" s="347">
        <f t="shared" si="12"/>
        <v>0</v>
      </c>
      <c r="AV14" s="347" t="e">
        <f>IF($I14="","",IF($I14="Custom",0,INDEX('Pathway B benchmarks'!$17:$18,MATCH($I14,'Pathway B benchmarks'!$A$17:$A$18,0),MATCH($S14,'Pathway B benchmarks'!$17:$17,0))))</f>
        <v>#N/A</v>
      </c>
      <c r="AW14" s="347" t="e">
        <f>IF($I14="","",IF($I14="Custom",0,INDEX('Pathway B benchmarks'!$30:$34,2,MATCH($S14,'Pathway B benchmarks'!$30:$30,0))))</f>
        <v>#N/A</v>
      </c>
      <c r="AX14" s="345" t="e">
        <f>IF($AW$14=0,1,$Q$14/$AW$14)*$AV$14</f>
        <v>#N/A</v>
      </c>
      <c r="AY14" s="353" t="e">
        <f>$AX$14/1000*$Y14/0.0036</f>
        <v>#N/A</v>
      </c>
      <c r="AZ14" s="353" t="e">
        <f>$AY$14/70*100</f>
        <v>#N/A</v>
      </c>
      <c r="BA14" s="353" t="e">
        <f t="shared" si="15"/>
        <v>#N/A</v>
      </c>
      <c r="BB14" s="350">
        <f t="shared" si="16"/>
        <v>0</v>
      </c>
      <c r="BC14" s="350" t="e">
        <f t="shared" si="17"/>
        <v>#N/A</v>
      </c>
      <c r="BD14" s="351">
        <f>IF(OR(E14="Whole Building", E14="Hotel", E14="School", E14="Data Centre (Whole facility)", E14="Residential Aged Care", E14="Retirement Living", E14="RAC and retirement (co-located)"),VLOOKUP(BB14,'Points Table'!$B$13:$C$36,2,TRUE),IF(OR(E14="Base Building", E14="Shopping Centre", E14="Apartment", E14="Warehouse and Cold Store", E14="Data Centre (Infrastructure)"),VLOOKUP(BB14,'Points Table'!$E$13:$F$33,2,TRUE),0))</f>
        <v>0</v>
      </c>
      <c r="BE14" s="352" t="str">
        <f>IF(AND($E$14="Whole Building", $BD$14&gt;=10), "YES", IF(AND($E$14="Base Building", $BD$14&gt;=8), "YES", "NO"))</f>
        <v>NO</v>
      </c>
    </row>
    <row r="15" spans="2:58">
      <c r="B15" s="300"/>
      <c r="C15" s="300"/>
      <c r="D15" s="300"/>
      <c r="E15" s="300"/>
      <c r="F15" s="300"/>
      <c r="G15" s="300"/>
      <c r="H15" s="300"/>
      <c r="I15" s="343" t="s">
        <v>943</v>
      </c>
      <c r="J15" s="274"/>
      <c r="K15" s="274"/>
      <c r="L15" s="359">
        <f t="shared" si="0"/>
        <v>1</v>
      </c>
      <c r="M15" s="362">
        <f t="shared" si="1"/>
        <v>1900</v>
      </c>
      <c r="N15" s="300"/>
      <c r="O15" s="300"/>
      <c r="P15" s="300"/>
      <c r="Q15" s="300"/>
      <c r="R15" s="300"/>
      <c r="S15" s="300"/>
      <c r="T15" s="303"/>
      <c r="U15" s="303"/>
      <c r="V15" s="344" t="str">
        <f t="shared" si="2"/>
        <v/>
      </c>
      <c r="W15" s="339"/>
      <c r="X15" s="363">
        <f>IF(W15&gt;0,W15*0.0036*IF(OR(T15&gt;$J$15,U15&lt;$K$15), 0, IF(T15&lt;$J$15,U15-$J$15,IF($K$15&lt;U15,U15-$K$15,V15)))/V15,0)</f>
        <v>0</v>
      </c>
      <c r="Y15" s="346" t="e" cm="1">
        <f t="array" ref="Y15">IF('Pathway B benchmarks'!C61,INDEX('Pathway B benchmarks'!C61:C63,MATCH(1,($I$7='Pathway B benchmarks'!A61:A63)*($M$15='Pathway B benchmarks'!B61:B63),0),1))</f>
        <v>#N/A</v>
      </c>
      <c r="Z15" s="347" t="e">
        <f t="shared" si="4"/>
        <v>#N/A</v>
      </c>
      <c r="AA15" s="303"/>
      <c r="AB15" s="303"/>
      <c r="AC15" s="344" t="str">
        <f t="shared" si="5"/>
        <v/>
      </c>
      <c r="AD15" s="339"/>
      <c r="AE15" s="364">
        <f>IF(AD15&gt;0,AD15*0.001*IF(OR(AA15&gt;$J$15,AB15&lt;$K$15), 0, IF(AA15&lt;$J$15,AB15-$J$15,IF($K$15&lt;AB15,AB15-$K$15,AC15)))/AC15,0)</f>
        <v>0</v>
      </c>
      <c r="AF15" s="348" t="e" cm="1">
        <f t="array" ref="AF15">IF('Pathway B benchmarks'!F39,INDEX('Pathway B benchmarks'!F39:F56,MATCH(1,($AE$6='Pathway B benchmarks'!A39:A56)*($M$15='Pathway B benchmarks'!B39:B56),0),1))</f>
        <v>#N/A</v>
      </c>
      <c r="AG15" s="349">
        <f t="shared" si="6"/>
        <v>0</v>
      </c>
      <c r="AH15" s="303"/>
      <c r="AI15" s="303"/>
      <c r="AJ15" s="344" t="str">
        <f t="shared" si="7"/>
        <v/>
      </c>
      <c r="AK15" s="339"/>
      <c r="AL15" s="363">
        <f>IF(AK15&gt;0,AK15*26.2*IF(OR(AH15&gt;$J$15,AI15&lt;$K$15), 0, IF(AH15&lt;$J$15,AI15-$J$15,IF($K$15&lt;AI15,AI15-$K$15,AJ15)))/AJ15,0)</f>
        <v>0</v>
      </c>
      <c r="AM15" s="345" t="e" cm="1">
        <f t="array" ref="AM15">IF('Pathway B benchmarks'!F39,INDEX('Pathway B benchmarks'!F39:F56,MATCH(1,($AL$6='Pathway B benchmarks'!A39:A56)*($M$15='Pathway B benchmarks'!B39:B56),0),1))</f>
        <v>#N/A</v>
      </c>
      <c r="AN15" s="347">
        <f t="shared" si="9"/>
        <v>0</v>
      </c>
      <c r="AO15" s="303"/>
      <c r="AP15" s="303"/>
      <c r="AQ15" s="344" t="str">
        <f t="shared" si="10"/>
        <v/>
      </c>
      <c r="AR15" s="339"/>
      <c r="AS15" s="363">
        <f>IF(AR15&gt;0,AR15*38.6*IF(OR(AO15&gt;$J$15,AP15&lt;$K$15), 0, IF(AO15&lt;$J$15,AP15-$J$15,IF($K$15&lt;AP15,AP15-$K$15,AQ15)))/AQ15,0)</f>
        <v>0</v>
      </c>
      <c r="AT15" s="345" t="e" cm="1">
        <f t="array" ref="AT15">IF('Pathway B benchmarks'!F39,INDEX('Pathway B benchmarks'!F39:F56,MATCH(1,($AS$6='Pathway B benchmarks'!A39:A56)*($M$15='Pathway B benchmarks'!B39:B56),0),1))</f>
        <v>#N/A</v>
      </c>
      <c r="AU15" s="347">
        <f t="shared" si="12"/>
        <v>0</v>
      </c>
      <c r="AV15" s="347" t="e">
        <f>IF($I15="","",IF($I15="Custom",0,INDEX('Pathway B benchmarks'!$17:$18,MATCH($I15,'Pathway B benchmarks'!$A$17:$A$18,0),MATCH($S15,'Pathway B benchmarks'!$17:$17,0))))</f>
        <v>#N/A</v>
      </c>
      <c r="AW15" s="347" t="e">
        <f>IF($I15="","",IF($I15="Custom",0,INDEX('Pathway B benchmarks'!$30:$34,2,MATCH($S15,'Pathway B benchmarks'!$30:$30,0))))</f>
        <v>#N/A</v>
      </c>
      <c r="AX15" s="345" t="e">
        <f>IF($AW$15=0,1,$Q$15/$AW$15)*$AV$15</f>
        <v>#N/A</v>
      </c>
      <c r="AY15" s="353" t="e">
        <f>$AX$15/1000*$Y15/0.0036</f>
        <v>#N/A</v>
      </c>
      <c r="AZ15" s="353" t="e">
        <f>$AY$15/70*100</f>
        <v>#N/A</v>
      </c>
      <c r="BA15" s="353" t="e">
        <f t="shared" si="15"/>
        <v>#N/A</v>
      </c>
      <c r="BB15" s="350">
        <f t="shared" si="16"/>
        <v>0</v>
      </c>
      <c r="BC15" s="350" t="e">
        <f t="shared" si="17"/>
        <v>#N/A</v>
      </c>
      <c r="BD15" s="351">
        <f>IF(OR(E15="Whole Building", E15="Hotel", E15="School", E15="Data Centre (Whole facility)", E15="Residential Aged Care", E15="Retirement Living", E15="RAC and retirement (co-located)"),VLOOKUP(BB15,'Points Table'!$B$13:$C$36,2,TRUE),IF(OR(E15="Base Building", E15="Shopping Centre", E15="Apartment", E15="Warehouse and Cold Store", E15="Data Centre (Infrastructure)"),VLOOKUP(BB15,'Points Table'!$E$13:$F$33,2,TRUE),0))</f>
        <v>0</v>
      </c>
      <c r="BE15" s="352" t="str">
        <f>IF(AND($E$15="Whole Building", $BD$15&gt;=10), "YES", IF(AND($E$15="Base Building", $BD$15&gt;=8), "YES", "NO"))</f>
        <v>NO</v>
      </c>
    </row>
    <row r="16" spans="2:58">
      <c r="B16" s="300"/>
      <c r="C16" s="300"/>
      <c r="D16" s="300"/>
      <c r="E16" s="300"/>
      <c r="F16" s="300"/>
      <c r="G16" s="300"/>
      <c r="H16" s="300"/>
      <c r="I16" s="343" t="s">
        <v>943</v>
      </c>
      <c r="J16" s="274"/>
      <c r="K16" s="274"/>
      <c r="L16" s="359">
        <f t="shared" si="0"/>
        <v>1</v>
      </c>
      <c r="M16" s="362">
        <f t="shared" si="1"/>
        <v>1900</v>
      </c>
      <c r="N16" s="300"/>
      <c r="O16" s="300"/>
      <c r="P16" s="300"/>
      <c r="Q16" s="300"/>
      <c r="R16" s="300"/>
      <c r="S16" s="300"/>
      <c r="T16" s="303"/>
      <c r="U16" s="303"/>
      <c r="V16" s="344" t="str">
        <f t="shared" si="2"/>
        <v/>
      </c>
      <c r="W16" s="339"/>
      <c r="X16" s="363">
        <f>IF(W16&gt;0,W16*0.0036*IF(OR(T16&gt;$J$16,U16&lt;$K$16), 0, IF(T16&lt;$J$16,U16-$J$16,IF($K$16&lt;U16,U16-$K$16,V16)))/V16,0)</f>
        <v>0</v>
      </c>
      <c r="Y16" s="346" t="e" cm="1">
        <f t="array" ref="Y16">IF('Pathway B benchmarks'!C61,INDEX('Pathway B benchmarks'!C61:C63,MATCH(1,($I$7='Pathway B benchmarks'!A61:A63)*($M$16='Pathway B benchmarks'!B61:B63),0),1))</f>
        <v>#N/A</v>
      </c>
      <c r="Z16" s="347" t="e">
        <f t="shared" si="4"/>
        <v>#N/A</v>
      </c>
      <c r="AA16" s="303"/>
      <c r="AB16" s="303"/>
      <c r="AC16" s="344" t="str">
        <f t="shared" si="5"/>
        <v/>
      </c>
      <c r="AD16" s="339"/>
      <c r="AE16" s="364">
        <f>IF(AD16&gt;0,AD16*0.001*IF(OR(AA16&gt;$J$16,AB16&lt;$K$16), 0, IF(AA16&lt;$J$16,AB16-$J$16,IF($K$16&lt;AB16,AB16-$K$16,AC16)))/AC16,0)</f>
        <v>0</v>
      </c>
      <c r="AF16" s="348" t="e" cm="1">
        <f t="array" ref="AF16">IF('Pathway B benchmarks'!F39,INDEX('Pathway B benchmarks'!F39:F56,MATCH(1,($AE$6='Pathway B benchmarks'!A39:A56)*($M$16='Pathway B benchmarks'!B39:B56),0),1))</f>
        <v>#N/A</v>
      </c>
      <c r="AG16" s="349">
        <f t="shared" si="6"/>
        <v>0</v>
      </c>
      <c r="AH16" s="303"/>
      <c r="AI16" s="303"/>
      <c r="AJ16" s="344" t="str">
        <f t="shared" si="7"/>
        <v/>
      </c>
      <c r="AK16" s="339"/>
      <c r="AL16" s="363">
        <f>IF(AK16&gt;0,AK16*26.2*IF(OR(AH16&gt;$J$16,AI16&lt;$K$16), 0, IF(AH16&lt;$J$16,AI16-$J$16,IF($K$16&lt;AI16,AI16-$K$16,AJ16)))/AJ16,0)</f>
        <v>0</v>
      </c>
      <c r="AM16" s="345" t="e" cm="1">
        <f t="array" ref="AM16">IF('Pathway B benchmarks'!F39,INDEX('Pathway B benchmarks'!F39:F56,MATCH(1,($AL$6='Pathway B benchmarks'!A39:A56)*($M$16='Pathway B benchmarks'!B39:B56),0),1))</f>
        <v>#N/A</v>
      </c>
      <c r="AN16" s="347">
        <f t="shared" si="9"/>
        <v>0</v>
      </c>
      <c r="AO16" s="303"/>
      <c r="AP16" s="303"/>
      <c r="AQ16" s="344" t="str">
        <f t="shared" si="10"/>
        <v/>
      </c>
      <c r="AR16" s="339"/>
      <c r="AS16" s="363">
        <f>IF(AR16&gt;0,AR16*38.6*IF(OR(AO16&gt;$J$16,AP16&lt;$K$16), 0, IF(AO16&lt;$J$16,AP16-$J$16,IF($K$16&lt;AP16,AP16-$K$16,AQ16)))/AQ16,0)</f>
        <v>0</v>
      </c>
      <c r="AT16" s="345" t="e" cm="1">
        <f t="array" ref="AT16">IF('Pathway B benchmarks'!F39,INDEX('Pathway B benchmarks'!F39:F56,MATCH(1,($AS$6='Pathway B benchmarks'!A39:A56)*($M$16='Pathway B benchmarks'!B39:B56),0),1))</f>
        <v>#N/A</v>
      </c>
      <c r="AU16" s="347">
        <f t="shared" si="12"/>
        <v>0</v>
      </c>
      <c r="AV16" s="347" t="e">
        <f>IF($I16="","",IF($I16="Custom",0,INDEX('Pathway B benchmarks'!$17:$18,MATCH($I16,'Pathway B benchmarks'!$A$17:$A$18,0),MATCH($S16,'Pathway B benchmarks'!$17:$17,0))))</f>
        <v>#N/A</v>
      </c>
      <c r="AW16" s="347" t="e">
        <f>IF($I16="","",IF($I16="Custom",0,INDEX('Pathway B benchmarks'!$30:$34,2,MATCH($S16,'Pathway B benchmarks'!$30:$30,0))))</f>
        <v>#N/A</v>
      </c>
      <c r="AX16" s="345" t="e">
        <f>IF($AW$16=0,1,$Q$16/$AW$16)*$AV$16</f>
        <v>#N/A</v>
      </c>
      <c r="AY16" s="353" t="e">
        <f>$AX$16/1000*$Y16/0.0036</f>
        <v>#N/A</v>
      </c>
      <c r="AZ16" s="353" t="e">
        <f>$AY$16/70*100</f>
        <v>#N/A</v>
      </c>
      <c r="BA16" s="353" t="e">
        <f t="shared" si="15"/>
        <v>#N/A</v>
      </c>
      <c r="BB16" s="350">
        <f t="shared" si="16"/>
        <v>0</v>
      </c>
      <c r="BC16" s="350" t="e">
        <f t="shared" si="17"/>
        <v>#N/A</v>
      </c>
      <c r="BD16" s="351">
        <f>IF(OR(E16="Whole Building", E16="Hotel", E16="School", E16="Data Centre (Whole facility)", E16="Residential Aged Care", E16="Retirement Living", E16="RAC and retirement (co-located)"),VLOOKUP(BB16,'Points Table'!$B$13:$C$36,2,TRUE),IF(OR(E16="Base Building", E16="Shopping Centre", E16="Apartment", E16="Warehouse and Cold Store", E16="Data Centre (Infrastructure)"),VLOOKUP(BB16,'Points Table'!$E$13:$F$33,2,TRUE),0))</f>
        <v>0</v>
      </c>
      <c r="BE16" s="352" t="str">
        <f>IF(AND($E$16="Whole Building", $BD$16&gt;=10), "YES", IF(AND($E$16="Base Building", $BD$16&gt;=8), "YES", "NO"))</f>
        <v>NO</v>
      </c>
    </row>
    <row r="17" spans="2:57">
      <c r="B17" s="300"/>
      <c r="C17" s="300"/>
      <c r="D17" s="300"/>
      <c r="E17" s="300"/>
      <c r="F17" s="300"/>
      <c r="G17" s="300"/>
      <c r="H17" s="300"/>
      <c r="I17" s="343" t="s">
        <v>943</v>
      </c>
      <c r="J17" s="274"/>
      <c r="K17" s="274"/>
      <c r="L17" s="359">
        <f t="shared" si="0"/>
        <v>1</v>
      </c>
      <c r="M17" s="362">
        <f t="shared" si="1"/>
        <v>1900</v>
      </c>
      <c r="N17" s="300"/>
      <c r="O17" s="300"/>
      <c r="P17" s="300"/>
      <c r="Q17" s="300"/>
      <c r="R17" s="300"/>
      <c r="S17" s="300"/>
      <c r="T17" s="303"/>
      <c r="U17" s="303"/>
      <c r="V17" s="344" t="str">
        <f t="shared" si="2"/>
        <v/>
      </c>
      <c r="W17" s="339"/>
      <c r="X17" s="363">
        <f>IF(W17&gt;0,W17*0.0036*IF(OR(T17&gt;$J$17,U17&lt;$K$17), 0, IF(T17&lt;$J$17,U17-$J$17,IF($K$17&lt;U17,U17-$K$17,V17)))/V17,0)</f>
        <v>0</v>
      </c>
      <c r="Y17" s="346" t="e" cm="1">
        <f t="array" ref="Y17">IF('Pathway B benchmarks'!C61,INDEX('Pathway B benchmarks'!C61:C63,MATCH(1,($I$7='Pathway B benchmarks'!A61:A63)*($M$17='Pathway B benchmarks'!B61:B63),0),1))</f>
        <v>#N/A</v>
      </c>
      <c r="Z17" s="347" t="e">
        <f t="shared" si="4"/>
        <v>#N/A</v>
      </c>
      <c r="AA17" s="303"/>
      <c r="AB17" s="303"/>
      <c r="AC17" s="344" t="str">
        <f t="shared" si="5"/>
        <v/>
      </c>
      <c r="AD17" s="339"/>
      <c r="AE17" s="364">
        <f>IF(AD17&gt;0,AD17*0.001*IF(OR(AA17&gt;$J$17,AB17&lt;$K$17), 0, IF(AA17&lt;$J$17,AB17-$J$17,IF($K$17&lt;AB17,AB17-$K$17,AC17)))/AC17,0)</f>
        <v>0</v>
      </c>
      <c r="AF17" s="348" t="e" cm="1">
        <f t="array" ref="AF17">IF('Pathway B benchmarks'!F39,INDEX('Pathway B benchmarks'!F39:F56,MATCH(1,($AE$6='Pathway B benchmarks'!A39:A56)*($M$17='Pathway B benchmarks'!B39:B56),0),1))</f>
        <v>#N/A</v>
      </c>
      <c r="AG17" s="349">
        <f t="shared" si="6"/>
        <v>0</v>
      </c>
      <c r="AH17" s="303"/>
      <c r="AI17" s="303"/>
      <c r="AJ17" s="344" t="str">
        <f t="shared" si="7"/>
        <v/>
      </c>
      <c r="AK17" s="339"/>
      <c r="AL17" s="363">
        <f>IF(AK17&gt;0,AK17*26.2*IF(OR(AH17&gt;$J$17,AI17&lt;$K$17), 0, IF(AH17&lt;$J$17,AI17-$J$17,IF($K$17&lt;AI17,AI17-$K$17,AJ17)))/AJ17,0)</f>
        <v>0</v>
      </c>
      <c r="AM17" s="345" t="e" cm="1">
        <f t="array" ref="AM17">IF('Pathway B benchmarks'!F39,INDEX('Pathway B benchmarks'!F39:F56,MATCH(1,($AL$6='Pathway B benchmarks'!A39:A56)*($M$17='Pathway B benchmarks'!B39:B56),0),1))</f>
        <v>#N/A</v>
      </c>
      <c r="AN17" s="347">
        <f t="shared" si="9"/>
        <v>0</v>
      </c>
      <c r="AO17" s="303"/>
      <c r="AP17" s="303"/>
      <c r="AQ17" s="344" t="str">
        <f t="shared" si="10"/>
        <v/>
      </c>
      <c r="AR17" s="339"/>
      <c r="AS17" s="363">
        <f>IF(AR17&gt;0,AR17*38.6*IF(OR(AO17&gt;$J$17,AP17&lt;$K$17), 0, IF(AO17&lt;$J$17,AP17-$J$17,IF($K$17&lt;AP17,AP17-$K$17,AQ17)))/AQ17,0)</f>
        <v>0</v>
      </c>
      <c r="AT17" s="345" t="e" cm="1">
        <f t="array" ref="AT17">IF('Pathway B benchmarks'!F39,INDEX('Pathway B benchmarks'!F39:F56,MATCH(1,($AS$6='Pathway B benchmarks'!A39:A56)*($M$17='Pathway B benchmarks'!B39:B56),0),1))</f>
        <v>#N/A</v>
      </c>
      <c r="AU17" s="347">
        <f t="shared" si="12"/>
        <v>0</v>
      </c>
      <c r="AV17" s="347" t="e">
        <f>IF($I17="","",IF($I17="Custom",0,INDEX('Pathway B benchmarks'!$17:$18,MATCH($I17,'Pathway B benchmarks'!$A$17:$A$18,0),MATCH($S17,'Pathway B benchmarks'!$17:$17,0))))</f>
        <v>#N/A</v>
      </c>
      <c r="AW17" s="347" t="e">
        <f>IF($I17="","",IF($I17="Custom",0,INDEX('Pathway B benchmarks'!$30:$34,2,MATCH($S17,'Pathway B benchmarks'!$30:$30,0))))</f>
        <v>#N/A</v>
      </c>
      <c r="AX17" s="345" t="e">
        <f>IF($AW$17=0,1,$Q$17/$AW$17)*$AV$17</f>
        <v>#N/A</v>
      </c>
      <c r="AY17" s="353" t="e">
        <f>$AX$17/1000*$Y17/0.0036</f>
        <v>#N/A</v>
      </c>
      <c r="AZ17" s="353" t="e">
        <f>$AY$17/70*100</f>
        <v>#N/A</v>
      </c>
      <c r="BA17" s="353" t="e">
        <f t="shared" si="15"/>
        <v>#N/A</v>
      </c>
      <c r="BB17" s="350">
        <f t="shared" si="16"/>
        <v>0</v>
      </c>
      <c r="BC17" s="350" t="e">
        <f t="shared" si="17"/>
        <v>#N/A</v>
      </c>
      <c r="BD17" s="351">
        <f>IF(OR(E17="Whole Building", E17="Hotel", E17="School", E17="Data Centre (Whole facility)", E17="Residential Aged Care", E17="Retirement Living", E17="RAC and retirement (co-located)"),VLOOKUP(BB17,'Points Table'!$B$13:$C$36,2,TRUE),IF(OR(E17="Base Building", E17="Shopping Centre", E17="Apartment", E17="Warehouse and Cold Store", E17="Data Centre (Infrastructure)"),VLOOKUP(BB17,'Points Table'!$E$13:$F$33,2,TRUE),0))</f>
        <v>0</v>
      </c>
      <c r="BE17" s="352" t="str">
        <f>IF(AND($E$17="Whole Building", $BD$17&gt;=10), "YES", IF(AND($E$17="Base Building", $BD$17&gt;=8), "YES", "NO"))</f>
        <v>NO</v>
      </c>
    </row>
    <row r="18" spans="2:57">
      <c r="B18" s="300"/>
      <c r="C18" s="300"/>
      <c r="D18" s="300"/>
      <c r="E18" s="300"/>
      <c r="F18" s="300"/>
      <c r="G18" s="300"/>
      <c r="H18" s="300"/>
      <c r="I18" s="343" t="s">
        <v>943</v>
      </c>
      <c r="J18" s="274"/>
      <c r="K18" s="274"/>
      <c r="L18" s="359">
        <f t="shared" si="0"/>
        <v>1</v>
      </c>
      <c r="M18" s="362">
        <f t="shared" si="1"/>
        <v>1900</v>
      </c>
      <c r="N18" s="300"/>
      <c r="O18" s="300"/>
      <c r="P18" s="300"/>
      <c r="Q18" s="300"/>
      <c r="R18" s="300"/>
      <c r="S18" s="300"/>
      <c r="T18" s="303"/>
      <c r="U18" s="303"/>
      <c r="V18" s="344" t="str">
        <f t="shared" si="2"/>
        <v/>
      </c>
      <c r="W18" s="339"/>
      <c r="X18" s="363">
        <f>IF(W18&gt;0,W18*0.0036*IF(OR(T18&gt;$J$18,U18&lt;$K$18), 0, IF(T18&lt;$J$18,U18-$J$18,IF($K$18&lt;U18,U18-$K$18,V18)))/V18,0)</f>
        <v>0</v>
      </c>
      <c r="Y18" s="346" t="e" cm="1">
        <f t="array" ref="Y18">IF('Pathway B benchmarks'!C61,INDEX('Pathway B benchmarks'!C61:C63,MATCH(1,($I$7='Pathway B benchmarks'!A61:A63)*($M$18='Pathway B benchmarks'!B61:B63),0),1))</f>
        <v>#N/A</v>
      </c>
      <c r="Z18" s="347" t="e">
        <f t="shared" si="4"/>
        <v>#N/A</v>
      </c>
      <c r="AA18" s="303"/>
      <c r="AB18" s="303"/>
      <c r="AC18" s="344" t="str">
        <f t="shared" si="5"/>
        <v/>
      </c>
      <c r="AD18" s="339"/>
      <c r="AE18" s="364">
        <f>IF(AD18&gt;0,AD18*0.001*IF(OR(AA18&gt;$J$18,AB18&lt;$K$18), 0, IF(AA18&lt;$J$18,AB18-$J$18,IF($K$18&lt;AB18,AB18-$K$18,AC18)))/AC18,0)</f>
        <v>0</v>
      </c>
      <c r="AF18" s="348" t="e" cm="1">
        <f t="array" ref="AF18">IF('Pathway B benchmarks'!F39,INDEX('Pathway B benchmarks'!F39:F56,MATCH(1,($AE$6='Pathway B benchmarks'!A39:A56)*($M$18='Pathway B benchmarks'!B39:B56),0),1))</f>
        <v>#N/A</v>
      </c>
      <c r="AG18" s="349">
        <f t="shared" si="6"/>
        <v>0</v>
      </c>
      <c r="AH18" s="303"/>
      <c r="AI18" s="303"/>
      <c r="AJ18" s="344" t="str">
        <f t="shared" si="7"/>
        <v/>
      </c>
      <c r="AK18" s="339"/>
      <c r="AL18" s="363">
        <f>IF(AK18&gt;0,AK18*26.2*IF(OR(AH18&gt;$J$18,AI18&lt;$K$18), 0, IF(AH18&lt;$J$18,AI18-$J$18,IF($K$18&lt;AI18,AI18-$K$18,AJ18)))/AJ18,0)</f>
        <v>0</v>
      </c>
      <c r="AM18" s="345" t="e" cm="1">
        <f t="array" ref="AM18">IF('Pathway B benchmarks'!F39,INDEX('Pathway B benchmarks'!F39:F56,MATCH(1,($AL$6='Pathway B benchmarks'!A39:A56)*($M$18='Pathway B benchmarks'!B39:B56),0),1))</f>
        <v>#N/A</v>
      </c>
      <c r="AN18" s="347">
        <f t="shared" si="9"/>
        <v>0</v>
      </c>
      <c r="AO18" s="303"/>
      <c r="AP18" s="303"/>
      <c r="AQ18" s="344" t="str">
        <f t="shared" si="10"/>
        <v/>
      </c>
      <c r="AR18" s="339"/>
      <c r="AS18" s="363">
        <f>IF(AR18&gt;0,AR18*38.6*IF(OR(AO18&gt;$J$18,AP18&lt;$K$18), 0, IF(AO18&lt;$J$18,AP18-$J$18,IF($K$18&lt;AP18,AP18-$K$18,AQ18)))/AQ18,0)</f>
        <v>0</v>
      </c>
      <c r="AT18" s="345" t="e" cm="1">
        <f t="array" ref="AT18">IF('Pathway B benchmarks'!F39,INDEX('Pathway B benchmarks'!F39:F56,MATCH(1,($AS$6='Pathway B benchmarks'!A39:A56)*($M$18='Pathway B benchmarks'!B39:B56),0),1))</f>
        <v>#N/A</v>
      </c>
      <c r="AU18" s="347">
        <f t="shared" si="12"/>
        <v>0</v>
      </c>
      <c r="AV18" s="347" t="e">
        <f>IF($I18="","",IF($I18="Custom",0,INDEX('Pathway B benchmarks'!$17:$18,MATCH($I18,'Pathway B benchmarks'!$A$17:$A$18,0),MATCH($S18,'Pathway B benchmarks'!$17:$17,0))))</f>
        <v>#N/A</v>
      </c>
      <c r="AW18" s="347" t="e">
        <f>IF($I18="","",IF($I18="Custom",0,INDEX('Pathway B benchmarks'!$30:$34,2,MATCH($S18,'Pathway B benchmarks'!$30:$30,0))))</f>
        <v>#N/A</v>
      </c>
      <c r="AX18" s="345" t="e">
        <f>IF($AW$18=0,1,$Q$18/$AW$18)*$AV$18</f>
        <v>#N/A</v>
      </c>
      <c r="AY18" s="353" t="e">
        <f>$AX$18/1000*$Y18/0.0036</f>
        <v>#N/A</v>
      </c>
      <c r="AZ18" s="353" t="e">
        <f>$AY$18/70*100</f>
        <v>#N/A</v>
      </c>
      <c r="BA18" s="353" t="e">
        <f t="shared" si="15"/>
        <v>#N/A</v>
      </c>
      <c r="BB18" s="350">
        <f t="shared" si="16"/>
        <v>0</v>
      </c>
      <c r="BC18" s="350" t="e">
        <f t="shared" si="17"/>
        <v>#N/A</v>
      </c>
      <c r="BD18" s="351">
        <f>IF(OR(E18="Whole Building", E18="Hotel", E18="School", E18="Data Centre (Whole facility)", E18="Residential Aged Care", E18="Retirement Living", E18="RAC and retirement (co-located)"),VLOOKUP(BB18,'Points Table'!$B$13:$C$36,2,TRUE),IF(OR(E18="Base Building", E18="Shopping Centre", E18="Apartment", E18="Warehouse and Cold Store", E18="Data Centre (Infrastructure)"),VLOOKUP(BB18,'Points Table'!$E$13:$F$33,2,TRUE),0))</f>
        <v>0</v>
      </c>
      <c r="BE18" s="352" t="str">
        <f>IF(AND($E$18="Whole Building", $BD$18&gt;=10), "YES", IF(AND($E$18="Base Building", $BD$18&gt;=8), "YES", "NO"))</f>
        <v>NO</v>
      </c>
    </row>
    <row r="19" spans="2:57">
      <c r="B19" s="300"/>
      <c r="C19" s="300"/>
      <c r="D19" s="300"/>
      <c r="E19" s="300"/>
      <c r="F19" s="300"/>
      <c r="G19" s="300"/>
      <c r="H19" s="300"/>
      <c r="I19" s="343" t="s">
        <v>943</v>
      </c>
      <c r="J19" s="274"/>
      <c r="K19" s="274"/>
      <c r="L19" s="359">
        <f t="shared" si="0"/>
        <v>1</v>
      </c>
      <c r="M19" s="362">
        <f t="shared" si="1"/>
        <v>1900</v>
      </c>
      <c r="N19" s="300"/>
      <c r="O19" s="300"/>
      <c r="P19" s="300"/>
      <c r="Q19" s="300"/>
      <c r="R19" s="300"/>
      <c r="S19" s="300"/>
      <c r="T19" s="303"/>
      <c r="U19" s="303"/>
      <c r="V19" s="344" t="str">
        <f t="shared" si="2"/>
        <v/>
      </c>
      <c r="W19" s="339"/>
      <c r="X19" s="363">
        <f>IF(W19&gt;0,W19*0.0036*IF(OR(T19&gt;$J$19,U19&lt;$K$19), 0, IF(T19&lt;$J$19,U19-$J$19,IF($K$19&lt;U19,U19-$K$19,V19)))/V19,0)</f>
        <v>0</v>
      </c>
      <c r="Y19" s="346" t="e" cm="1">
        <f t="array" ref="Y19">IF('Pathway B benchmarks'!C61,INDEX('Pathway B benchmarks'!C61:C63,MATCH(1,($I$7='Pathway B benchmarks'!A61:A63)*($M$19='Pathway B benchmarks'!B61:B63),0),1))</f>
        <v>#N/A</v>
      </c>
      <c r="Z19" s="347" t="e">
        <f t="shared" si="4"/>
        <v>#N/A</v>
      </c>
      <c r="AA19" s="303"/>
      <c r="AB19" s="303"/>
      <c r="AC19" s="344" t="str">
        <f t="shared" si="5"/>
        <v/>
      </c>
      <c r="AD19" s="339"/>
      <c r="AE19" s="364">
        <f>IF(AD19&gt;0,AD19*0.001*IF(OR(AA19&gt;$J$19,AB19&lt;$K$19), 0, IF(AA19&lt;$J$19,AB19-$J$19,IF($K$19&lt;AB19,AB19-$K$19,AC19)))/AC19,0)</f>
        <v>0</v>
      </c>
      <c r="AF19" s="348" t="e" cm="1">
        <f t="array" ref="AF19">IF('Pathway B benchmarks'!F39,INDEX('Pathway B benchmarks'!F39:F56,MATCH(1,($AE$6='Pathway B benchmarks'!A39:A56)*($M$19='Pathway B benchmarks'!B39:B56),0),1))</f>
        <v>#N/A</v>
      </c>
      <c r="AG19" s="349">
        <f t="shared" si="6"/>
        <v>0</v>
      </c>
      <c r="AH19" s="303"/>
      <c r="AI19" s="303"/>
      <c r="AJ19" s="344" t="str">
        <f t="shared" si="7"/>
        <v/>
      </c>
      <c r="AK19" s="339"/>
      <c r="AL19" s="363">
        <f>IF(AK19&gt;0,AK19*26.2*IF(OR(AH19&gt;$J$19,AI19&lt;$K$19), 0, IF(AH19&lt;$J$19,AI19-$J$19,IF($K$19&lt;AI19,AI19-$K$19,AJ19)))/AJ19,0)</f>
        <v>0</v>
      </c>
      <c r="AM19" s="345" t="e" cm="1">
        <f t="array" ref="AM19">IF('Pathway B benchmarks'!F39,INDEX('Pathway B benchmarks'!F39:F56,MATCH(1,($AL$6='Pathway B benchmarks'!A39:A56)*($M$19='Pathway B benchmarks'!B39:B56),0),1))</f>
        <v>#N/A</v>
      </c>
      <c r="AN19" s="347">
        <f t="shared" si="9"/>
        <v>0</v>
      </c>
      <c r="AO19" s="303"/>
      <c r="AP19" s="303"/>
      <c r="AQ19" s="344" t="str">
        <f t="shared" si="10"/>
        <v/>
      </c>
      <c r="AR19" s="339"/>
      <c r="AS19" s="363">
        <f>IF(AR19&gt;0,AR19*38.6*IF(OR(AO19&gt;$J$19,AP19&lt;$K$19), 0, IF(AO19&lt;$J$19,AP19-$J$19,IF($K$19&lt;AP19,AP19-$K$19,AQ19)))/AQ19,0)</f>
        <v>0</v>
      </c>
      <c r="AT19" s="345" t="e" cm="1">
        <f t="array" ref="AT19">IF('Pathway B benchmarks'!F39,INDEX('Pathway B benchmarks'!F39:F56,MATCH(1,($AS$6='Pathway B benchmarks'!A39:A56)*($M$19='Pathway B benchmarks'!B39:B56),0),1))</f>
        <v>#N/A</v>
      </c>
      <c r="AU19" s="347">
        <f t="shared" si="12"/>
        <v>0</v>
      </c>
      <c r="AV19" s="347" t="e">
        <f>IF($I19="","",IF($I19="Custom",0,INDEX('Pathway B benchmarks'!$17:$18,MATCH($I19,'Pathway B benchmarks'!$A$17:$A$18,0),MATCH($S19,'Pathway B benchmarks'!$17:$17,0))))</f>
        <v>#N/A</v>
      </c>
      <c r="AW19" s="347" t="e">
        <f>IF($I19="","",IF($I19="Custom",0,INDEX('Pathway B benchmarks'!$30:$34,2,MATCH($S19,'Pathway B benchmarks'!$30:$30,0))))</f>
        <v>#N/A</v>
      </c>
      <c r="AX19" s="345" t="e">
        <f>IF($AW$19=0,1,$Q$19/$AW$19)*$AV$19</f>
        <v>#N/A</v>
      </c>
      <c r="AY19" s="353" t="e">
        <f>$AX$19/1000*$Y19/0.0036</f>
        <v>#N/A</v>
      </c>
      <c r="AZ19" s="353" t="e">
        <f>$AY$19/70*100</f>
        <v>#N/A</v>
      </c>
      <c r="BA19" s="353" t="e">
        <f t="shared" si="15"/>
        <v>#N/A</v>
      </c>
      <c r="BB19" s="350">
        <f t="shared" si="16"/>
        <v>0</v>
      </c>
      <c r="BC19" s="350" t="e">
        <f t="shared" si="17"/>
        <v>#N/A</v>
      </c>
      <c r="BD19" s="351">
        <f>IF(OR(E19="Whole Building", E19="Hotel", E19="School", E19="Data Centre (Whole facility)", E19="Residential Aged Care", E19="Retirement Living", E19="RAC and retirement (co-located)"),VLOOKUP(BB19,'Points Table'!$B$13:$C$36,2,TRUE),IF(OR(E19="Base Building", E19="Shopping Centre", E19="Apartment", E19="Warehouse and Cold Store", E19="Data Centre (Infrastructure)"),VLOOKUP(BB19,'Points Table'!$E$13:$F$33,2,TRUE),0))</f>
        <v>0</v>
      </c>
      <c r="BE19" s="352" t="str">
        <f>IF(AND($E$19="Whole Building", $BD$19&gt;=10), "YES", IF(AND($E$19="Base Building", $BD$19&gt;=8), "YES", "NO"))</f>
        <v>NO</v>
      </c>
    </row>
    <row r="20" spans="2:57">
      <c r="B20" s="300"/>
      <c r="C20" s="300"/>
      <c r="D20" s="300"/>
      <c r="E20" s="300"/>
      <c r="F20" s="300"/>
      <c r="G20" s="300"/>
      <c r="H20" s="300"/>
      <c r="I20" s="343" t="s">
        <v>943</v>
      </c>
      <c r="J20" s="274"/>
      <c r="K20" s="274"/>
      <c r="L20" s="359">
        <f t="shared" si="0"/>
        <v>1</v>
      </c>
      <c r="M20" s="362">
        <f t="shared" si="1"/>
        <v>1900</v>
      </c>
      <c r="N20" s="300"/>
      <c r="O20" s="300"/>
      <c r="P20" s="300"/>
      <c r="Q20" s="300"/>
      <c r="R20" s="300"/>
      <c r="S20" s="300"/>
      <c r="T20" s="303"/>
      <c r="U20" s="303"/>
      <c r="V20" s="344" t="str">
        <f t="shared" si="2"/>
        <v/>
      </c>
      <c r="W20" s="339"/>
      <c r="X20" s="363">
        <f>IF(W20&gt;0,W20*0.0036*IF(OR(T20&gt;$J$20,U20&lt;$K$20), 0, IF(T20&lt;$J$20,U20-$J$20,IF($K$20&lt;U20,U20-$K$20,V20)))/V20,0)</f>
        <v>0</v>
      </c>
      <c r="Y20" s="346" t="e" cm="1">
        <f t="array" ref="Y20">IF('Pathway B benchmarks'!C61,INDEX('Pathway B benchmarks'!C61:C63,MATCH(1,($I$7='Pathway B benchmarks'!A61:A63)*($M$20='Pathway B benchmarks'!B61:B63),0),1))</f>
        <v>#N/A</v>
      </c>
      <c r="Z20" s="347" t="e">
        <f t="shared" si="4"/>
        <v>#N/A</v>
      </c>
      <c r="AA20" s="303"/>
      <c r="AB20" s="303"/>
      <c r="AC20" s="344" t="str">
        <f t="shared" si="5"/>
        <v/>
      </c>
      <c r="AD20" s="339"/>
      <c r="AE20" s="364">
        <f>IF(AD20&gt;0,AD20*0.001*IF(OR(AA20&gt;$J$20,AB20&lt;$K$20), 0, IF(AA20&lt;$J$20,AB20-$J$20,IF($K$20&lt;AB20,AB20-$K$20,AC20)))/AC20,0)</f>
        <v>0</v>
      </c>
      <c r="AF20" s="348" t="e" cm="1">
        <f t="array" ref="AF20">IF('Pathway B benchmarks'!F39,INDEX('Pathway B benchmarks'!F39:F56,MATCH(1,($AE$6='Pathway B benchmarks'!A39:A56)*($M$20='Pathway B benchmarks'!B39:B56),0),1))</f>
        <v>#N/A</v>
      </c>
      <c r="AG20" s="349">
        <f t="shared" si="6"/>
        <v>0</v>
      </c>
      <c r="AH20" s="303"/>
      <c r="AI20" s="303"/>
      <c r="AJ20" s="344" t="str">
        <f t="shared" si="7"/>
        <v/>
      </c>
      <c r="AK20" s="339"/>
      <c r="AL20" s="363">
        <f>IF(AK20&gt;0,AK20*26.2*IF(OR(AH20&gt;$J$20,AI20&lt;$K$20), 0, IF(AH20&lt;$J$20,AI20-$J$20,IF($K$20&lt;AI20,AI20-$K$20,AJ20)))/AJ20,0)</f>
        <v>0</v>
      </c>
      <c r="AM20" s="345" t="e" cm="1">
        <f t="array" ref="AM20">IF('Pathway B benchmarks'!F39,INDEX('Pathway B benchmarks'!F39:F56,MATCH(1,($AL$6='Pathway B benchmarks'!A39:A56)*($M$20='Pathway B benchmarks'!B39:B56),0),1))</f>
        <v>#N/A</v>
      </c>
      <c r="AN20" s="347">
        <f t="shared" si="9"/>
        <v>0</v>
      </c>
      <c r="AO20" s="303"/>
      <c r="AP20" s="303"/>
      <c r="AQ20" s="344" t="str">
        <f t="shared" si="10"/>
        <v/>
      </c>
      <c r="AR20" s="339"/>
      <c r="AS20" s="363">
        <f>IF(AR20&gt;0,AR20*38.6*IF(OR(AO20&gt;$J$20,AP20&lt;$K$20), 0, IF(AO20&lt;$J$20,AP20-$J$20,IF($K$20&lt;AP20,AP20-$K$20,AQ20)))/AQ20,0)</f>
        <v>0</v>
      </c>
      <c r="AT20" s="345" t="e" cm="1">
        <f t="array" ref="AT20">IF('Pathway B benchmarks'!F39,INDEX('Pathway B benchmarks'!F39:F56,MATCH(1,($AS$6='Pathway B benchmarks'!A39:A56)*($M$20='Pathway B benchmarks'!B39:B56),0),1))</f>
        <v>#N/A</v>
      </c>
      <c r="AU20" s="347">
        <f t="shared" si="12"/>
        <v>0</v>
      </c>
      <c r="AV20" s="347" t="e">
        <f>IF($I20="","",IF($I20="Custom",0,INDEX('Pathway B benchmarks'!$17:$18,MATCH($I20,'Pathway B benchmarks'!$A$17:$A$18,0),MATCH($S20,'Pathway B benchmarks'!$17:$17,0))))</f>
        <v>#N/A</v>
      </c>
      <c r="AW20" s="347" t="e">
        <f>IF($I20="","",IF($I20="Custom",0,INDEX('Pathway B benchmarks'!$30:$34,2,MATCH($S20,'Pathway B benchmarks'!$30:$30,0))))</f>
        <v>#N/A</v>
      </c>
      <c r="AX20" s="345" t="e">
        <f>IF($AW$20=0,1,$Q$20/$AW$20)*$AV$20</f>
        <v>#N/A</v>
      </c>
      <c r="AY20" s="353" t="e">
        <f>$AX$20/1000*$Y20/0.0036</f>
        <v>#N/A</v>
      </c>
      <c r="AZ20" s="353" t="e">
        <f>$AY$20/70*100</f>
        <v>#N/A</v>
      </c>
      <c r="BA20" s="353" t="e">
        <f t="shared" si="15"/>
        <v>#N/A</v>
      </c>
      <c r="BB20" s="350">
        <f t="shared" si="16"/>
        <v>0</v>
      </c>
      <c r="BC20" s="350" t="e">
        <f t="shared" si="17"/>
        <v>#N/A</v>
      </c>
      <c r="BD20" s="351">
        <f>IF(OR(E20="Whole Building", E20="Hotel", E20="School", E20="Data Centre (Whole facility)", E20="Residential Aged Care", E20="Retirement Living", E20="RAC and retirement (co-located)"),VLOOKUP(BB20,'Points Table'!$B$13:$C$36,2,TRUE),IF(OR(E20="Base Building", E20="Shopping Centre", E20="Apartment", E20="Warehouse and Cold Store", E20="Data Centre (Infrastructure)"),VLOOKUP(BB20,'Points Table'!$E$13:$F$33,2,TRUE),0))</f>
        <v>0</v>
      </c>
      <c r="BE20" s="352" t="str">
        <f>IF(AND($E$20="Whole Building", $BD$20&gt;=10), "YES", IF(AND($E$20="Base Building", $BD$20&gt;=8), "YES", "NO"))</f>
        <v>NO</v>
      </c>
    </row>
    <row r="21" spans="2:57">
      <c r="B21" s="300"/>
      <c r="C21" s="300"/>
      <c r="D21" s="300"/>
      <c r="E21" s="300"/>
      <c r="F21" s="300"/>
      <c r="G21" s="300"/>
      <c r="H21" s="300"/>
      <c r="I21" s="343" t="s">
        <v>943</v>
      </c>
      <c r="J21" s="274"/>
      <c r="K21" s="274"/>
      <c r="L21" s="359">
        <f t="shared" si="0"/>
        <v>1</v>
      </c>
      <c r="M21" s="362">
        <f t="shared" si="1"/>
        <v>1900</v>
      </c>
      <c r="N21" s="300"/>
      <c r="O21" s="300"/>
      <c r="P21" s="300"/>
      <c r="Q21" s="300"/>
      <c r="R21" s="300"/>
      <c r="S21" s="300"/>
      <c r="T21" s="303"/>
      <c r="U21" s="303"/>
      <c r="V21" s="344" t="str">
        <f t="shared" si="2"/>
        <v/>
      </c>
      <c r="W21" s="339"/>
      <c r="X21" s="363">
        <f>IF(W21&gt;0,W21*0.0036*IF(OR(T21&gt;$J$21,U21&lt;$K$21), 0, IF(T21&lt;$J$21,U21-$J$21,IF($K$21&lt;U21,U21-$K$21,V21)))/V21,0)</f>
        <v>0</v>
      </c>
      <c r="Y21" s="346" t="e" cm="1">
        <f t="array" ref="Y21">IF('Pathway B benchmarks'!C61,INDEX('Pathway B benchmarks'!C61:C63,MATCH(1,($I$7='Pathway B benchmarks'!A61:A63)*($M$21='Pathway B benchmarks'!B61:B63),0),1))</f>
        <v>#N/A</v>
      </c>
      <c r="Z21" s="347" t="e">
        <f t="shared" si="4"/>
        <v>#N/A</v>
      </c>
      <c r="AA21" s="303"/>
      <c r="AB21" s="303"/>
      <c r="AC21" s="344" t="str">
        <f t="shared" si="5"/>
        <v/>
      </c>
      <c r="AD21" s="339"/>
      <c r="AE21" s="364">
        <f>IF(AD21&gt;0,AD21*0.001*IF(OR(AA21&gt;$J$21,AB21&lt;$K$21), 0, IF(AA21&lt;$J$21,AB21-$J$21,IF($K$21&lt;AB21,AB21-$K$21,AC21)))/AC21,0)</f>
        <v>0</v>
      </c>
      <c r="AF21" s="348" t="e" cm="1">
        <f t="array" ref="AF21">IF('Pathway B benchmarks'!F39,INDEX('Pathway B benchmarks'!F39:F56,MATCH(1,($AE$6='Pathway B benchmarks'!A39:A56)*($M$21='Pathway B benchmarks'!B39:B56),0),1))</f>
        <v>#N/A</v>
      </c>
      <c r="AG21" s="349">
        <f t="shared" si="6"/>
        <v>0</v>
      </c>
      <c r="AH21" s="303"/>
      <c r="AI21" s="303"/>
      <c r="AJ21" s="344" t="str">
        <f t="shared" si="7"/>
        <v/>
      </c>
      <c r="AK21" s="339"/>
      <c r="AL21" s="363">
        <f>IF(AK21&gt;0,AK21*26.2*IF(OR(AH21&gt;$J$21,AI21&lt;$K$21), 0, IF(AH21&lt;$J$21,AI21-$J$21,IF($K$21&lt;AI21,AI21-$K$21,AJ21)))/AJ21,0)</f>
        <v>0</v>
      </c>
      <c r="AM21" s="345" t="e" cm="1">
        <f t="array" ref="AM21">IF('Pathway B benchmarks'!F39,INDEX('Pathway B benchmarks'!F39:F56,MATCH(1,($AL$6='Pathway B benchmarks'!A39:A56)*($M$21='Pathway B benchmarks'!B39:B56),0),1))</f>
        <v>#N/A</v>
      </c>
      <c r="AN21" s="347">
        <f t="shared" si="9"/>
        <v>0</v>
      </c>
      <c r="AO21" s="303"/>
      <c r="AP21" s="303"/>
      <c r="AQ21" s="344" t="str">
        <f t="shared" si="10"/>
        <v/>
      </c>
      <c r="AR21" s="339"/>
      <c r="AS21" s="363">
        <f>IF(AR21&gt;0,AR21*38.6*IF(OR(AO21&gt;$J$21,AP21&lt;$K$21), 0, IF(AO21&lt;$J$21,AP21-$J$21,IF($K$21&lt;AP21,AP21-$K$21,AQ21)))/AQ21,0)</f>
        <v>0</v>
      </c>
      <c r="AT21" s="345" t="e" cm="1">
        <f t="array" ref="AT21">IF('Pathway B benchmarks'!F39,INDEX('Pathway B benchmarks'!F39:F56,MATCH(1,($AS$6='Pathway B benchmarks'!A39:A56)*($M$21='Pathway B benchmarks'!B39:B56),0),1))</f>
        <v>#N/A</v>
      </c>
      <c r="AU21" s="347">
        <f t="shared" si="12"/>
        <v>0</v>
      </c>
      <c r="AV21" s="347" t="e">
        <f>IF($I21="","",IF($I21="Custom",0,INDEX('Pathway B benchmarks'!$17:$18,MATCH($I21,'Pathway B benchmarks'!$A$17:$A$18,0),MATCH($S21,'Pathway B benchmarks'!$17:$17,0))))</f>
        <v>#N/A</v>
      </c>
      <c r="AW21" s="347" t="e">
        <f>IF($I21="","",IF($I21="Custom",0,INDEX('Pathway B benchmarks'!$30:$34,2,MATCH($S21,'Pathway B benchmarks'!$30:$30,0))))</f>
        <v>#N/A</v>
      </c>
      <c r="AX21" s="345" t="e">
        <f>IF($AW$21=0,1,$Q$21/$AW$21)*$AV$21</f>
        <v>#N/A</v>
      </c>
      <c r="AY21" s="353" t="e">
        <f>$AX$21/1000*$Y21/0.0036</f>
        <v>#N/A</v>
      </c>
      <c r="AZ21" s="353" t="e">
        <f>$AY$21/70*100</f>
        <v>#N/A</v>
      </c>
      <c r="BA21" s="353" t="e">
        <f t="shared" si="15"/>
        <v>#N/A</v>
      </c>
      <c r="BB21" s="350">
        <f t="shared" si="16"/>
        <v>0</v>
      </c>
      <c r="BC21" s="350" t="e">
        <f t="shared" si="17"/>
        <v>#N/A</v>
      </c>
      <c r="BD21" s="351">
        <f>IF(OR(E21="Whole Building", E21="Hotel", E21="School", E21="Data Centre (Whole facility)", E21="Residential Aged Care", E21="Retirement Living", E21="RAC and retirement (co-located)"),VLOOKUP(BB21,'Points Table'!$B$13:$C$36,2,TRUE),IF(OR(E21="Base Building", E21="Shopping Centre", E21="Apartment", E21="Warehouse and Cold Store", E21="Data Centre (Infrastructure)"),VLOOKUP(BB21,'Points Table'!$E$13:$F$33,2,TRUE),0))</f>
        <v>0</v>
      </c>
      <c r="BE21" s="352" t="str">
        <f>IF(AND($E$21="Whole Building", $BD$21&gt;=10), "YES", IF(AND($E$21="Base Building", $BD$21&gt;=8), "YES", "NO"))</f>
        <v>NO</v>
      </c>
    </row>
    <row r="22" spans="2:57">
      <c r="B22" s="300"/>
      <c r="C22" s="300"/>
      <c r="D22" s="300"/>
      <c r="E22" s="300"/>
      <c r="F22" s="300"/>
      <c r="G22" s="300"/>
      <c r="H22" s="300"/>
      <c r="I22" s="343" t="s">
        <v>943</v>
      </c>
      <c r="J22" s="274"/>
      <c r="K22" s="274"/>
      <c r="L22" s="359">
        <f t="shared" si="0"/>
        <v>1</v>
      </c>
      <c r="M22" s="362">
        <f t="shared" si="1"/>
        <v>1900</v>
      </c>
      <c r="N22" s="300"/>
      <c r="O22" s="300"/>
      <c r="P22" s="300"/>
      <c r="Q22" s="300"/>
      <c r="R22" s="300"/>
      <c r="S22" s="300"/>
      <c r="T22" s="303"/>
      <c r="U22" s="303"/>
      <c r="V22" s="344" t="str">
        <f t="shared" si="2"/>
        <v/>
      </c>
      <c r="W22" s="339"/>
      <c r="X22" s="363">
        <f>IF(W22&gt;0,W22*0.0036*IF(OR(T22&gt;$J$22,U22&lt;$K$22), 0, IF(T22&lt;$J$22,U22-$J$22,IF($K$22&lt;U22,U22-$K$22,V22)))/V22,0)</f>
        <v>0</v>
      </c>
      <c r="Y22" s="346" t="e" cm="1">
        <f t="array" ref="Y22">IF('Pathway B benchmarks'!C61,INDEX('Pathway B benchmarks'!C61:C63,MATCH(1,($I$7='Pathway B benchmarks'!A61:A63)*($M$22='Pathway B benchmarks'!B61:B63),0),1))</f>
        <v>#N/A</v>
      </c>
      <c r="Z22" s="347" t="e">
        <f t="shared" si="4"/>
        <v>#N/A</v>
      </c>
      <c r="AA22" s="303"/>
      <c r="AB22" s="303"/>
      <c r="AC22" s="344" t="str">
        <f t="shared" si="5"/>
        <v/>
      </c>
      <c r="AD22" s="339"/>
      <c r="AE22" s="364">
        <f>IF(AD22&gt;0,AD22*0.001*IF(OR(AA22&gt;$J$22,AB22&lt;$K$22), 0, IF(AA22&lt;$J$22,AB22-$J$22,IF($K$22&lt;AB22,AB22-$K$22,AC22)))/AC22,0)</f>
        <v>0</v>
      </c>
      <c r="AF22" s="348" t="e" cm="1">
        <f t="array" ref="AF22">IF('Pathway B benchmarks'!F39,INDEX('Pathway B benchmarks'!F39:F56,MATCH(1,($AE$6='Pathway B benchmarks'!A39:A56)*($M$22='Pathway B benchmarks'!B39:B56),0),1))</f>
        <v>#N/A</v>
      </c>
      <c r="AG22" s="349">
        <f t="shared" si="6"/>
        <v>0</v>
      </c>
      <c r="AH22" s="303"/>
      <c r="AI22" s="303"/>
      <c r="AJ22" s="344" t="str">
        <f t="shared" si="7"/>
        <v/>
      </c>
      <c r="AK22" s="339"/>
      <c r="AL22" s="363">
        <f>IF(AK22&gt;0,AK22*26.2*IF(OR(AH22&gt;$J$22,AI22&lt;$K$22), 0, IF(AH22&lt;$J$22,AI22-$J$22,IF($K$22&lt;AI22,AI22-$K$22,AJ22)))/AJ22,0)</f>
        <v>0</v>
      </c>
      <c r="AM22" s="345" t="e" cm="1">
        <f t="array" ref="AM22">IF('Pathway B benchmarks'!F39,INDEX('Pathway B benchmarks'!F39:F56,MATCH(1,($AL$6='Pathway B benchmarks'!A39:A56)*($M$22='Pathway B benchmarks'!B39:B56),0),1))</f>
        <v>#N/A</v>
      </c>
      <c r="AN22" s="347">
        <f t="shared" si="9"/>
        <v>0</v>
      </c>
      <c r="AO22" s="303"/>
      <c r="AP22" s="303"/>
      <c r="AQ22" s="344" t="str">
        <f t="shared" si="10"/>
        <v/>
      </c>
      <c r="AR22" s="339"/>
      <c r="AS22" s="363">
        <f>IF(AR22&gt;0,AR22*38.6*IF(OR(AO22&gt;$J$22,AP22&lt;$K$22), 0, IF(AO22&lt;$J$22,AP22-$J$22,IF($K$22&lt;AP22,AP22-$K$22,AQ22)))/AQ22,0)</f>
        <v>0</v>
      </c>
      <c r="AT22" s="345" t="e" cm="1">
        <f t="array" ref="AT22">IF('Pathway B benchmarks'!F39,INDEX('Pathway B benchmarks'!F39:F56,MATCH(1,($AS$6='Pathway B benchmarks'!A39:A56)*($M$22='Pathway B benchmarks'!B39:B56),0),1))</f>
        <v>#N/A</v>
      </c>
      <c r="AU22" s="347">
        <f t="shared" si="12"/>
        <v>0</v>
      </c>
      <c r="AV22" s="347" t="e">
        <f>IF($I22="","",IF($I22="Custom",0,INDEX('Pathway B benchmarks'!$17:$18,MATCH($I22,'Pathway B benchmarks'!$A$17:$A$18,0),MATCH($S22,'Pathway B benchmarks'!$17:$17,0))))</f>
        <v>#N/A</v>
      </c>
      <c r="AW22" s="347" t="e">
        <f>IF($I22="","",IF($I22="Custom",0,INDEX('Pathway B benchmarks'!$30:$34,2,MATCH($S22,'Pathway B benchmarks'!$30:$30,0))))</f>
        <v>#N/A</v>
      </c>
      <c r="AX22" s="345" t="e">
        <f>IF($AW$22=0,1,$Q$21/$AW$22)*$AV$22</f>
        <v>#N/A</v>
      </c>
      <c r="AY22" s="353" t="e">
        <f>$AX$22/1000*$Y22/0.0036</f>
        <v>#N/A</v>
      </c>
      <c r="AZ22" s="353" t="e">
        <f>$AY$22/70*100</f>
        <v>#N/A</v>
      </c>
      <c r="BA22" s="353" t="e">
        <f>(Z22+AG22+AN22+AU22)/P22</f>
        <v>#N/A</v>
      </c>
      <c r="BB22" s="350">
        <f t="shared" si="16"/>
        <v>0</v>
      </c>
      <c r="BC22" s="350" t="e">
        <f t="shared" si="17"/>
        <v>#N/A</v>
      </c>
      <c r="BD22" s="351">
        <f>IF(OR(E22="Whole Building", E22="Hotel", E22="School", E22="Data Centre (Whole facility)", E22="Residential Aged Care", E22="Retirement Living", E22="RAC and retirement (co-located)"),VLOOKUP(BB22,'Points Table'!$B$13:$C$36,2,TRUE),IF(OR(E22="Base Building", E22="Shopping Centre", E22="Apartment", E22="Warehouse and Cold Store", E22="Data Centre (Infrastructure)"),VLOOKUP(BB22,'Points Table'!$E$13:$F$33,2,TRUE),0))</f>
        <v>0</v>
      </c>
      <c r="BE22" s="352" t="str">
        <f>IF(AND($E$22="Whole Building", $BD$22&gt;=10), "YES", IF(AND($E$22="Base Building", $BD$22&gt;=8), "YES", "NO"))</f>
        <v>NO</v>
      </c>
    </row>
    <row r="23" spans="2:57">
      <c r="B23" s="300"/>
      <c r="C23" s="300"/>
      <c r="D23" s="300"/>
      <c r="E23" s="300"/>
      <c r="F23" s="300"/>
      <c r="G23" s="300"/>
      <c r="H23" s="300"/>
      <c r="I23" s="343" t="s">
        <v>943</v>
      </c>
      <c r="J23" s="274"/>
      <c r="K23" s="274"/>
      <c r="L23" s="359">
        <f t="shared" si="0"/>
        <v>1</v>
      </c>
      <c r="M23" s="362">
        <f t="shared" si="1"/>
        <v>1900</v>
      </c>
      <c r="N23" s="300"/>
      <c r="O23" s="300"/>
      <c r="P23" s="300"/>
      <c r="Q23" s="300"/>
      <c r="R23" s="300"/>
      <c r="S23" s="300"/>
      <c r="T23" s="303"/>
      <c r="U23" s="303"/>
      <c r="V23" s="344" t="str">
        <f t="shared" si="2"/>
        <v/>
      </c>
      <c r="W23" s="339"/>
      <c r="X23" s="363">
        <f>IF(W23&gt;0,W23*0.0036*IF(OR(T23&gt;$J$23,U23&lt;$K$23), 0, IF(T23&lt;$J$23,U23-$J$23,IF($K$23&lt;U23,U23-$K$23,V23)))/V23,0)</f>
        <v>0</v>
      </c>
      <c r="Y23" s="346" t="e" cm="1">
        <f t="array" ref="Y23">IF('Pathway B benchmarks'!C61,INDEX('Pathway B benchmarks'!C61:C63,MATCH(1,($I$7='Pathway B benchmarks'!A61:A63)*($M$23='Pathway B benchmarks'!B61:B63),0),1))</f>
        <v>#N/A</v>
      </c>
      <c r="Z23" s="347" t="e">
        <f t="shared" si="4"/>
        <v>#N/A</v>
      </c>
      <c r="AA23" s="303"/>
      <c r="AB23" s="303"/>
      <c r="AC23" s="344" t="str">
        <f t="shared" si="5"/>
        <v/>
      </c>
      <c r="AD23" s="339"/>
      <c r="AE23" s="364">
        <f>IF(AD23&gt;0,AD23*0.001*IF(OR(AA23&gt;$J$23,AB23&lt;$K$23), 0, IF(AA23&lt;$J$23,AB23-$J$23,IF($K$23&lt;AB23,AB23-$K$23,AC23)))/AC23,0)</f>
        <v>0</v>
      </c>
      <c r="AF23" s="348" t="e" cm="1">
        <f t="array" ref="AF23">IF('Pathway B benchmarks'!F39,INDEX('Pathway B benchmarks'!F39:F56,MATCH(1,($AE$6='Pathway B benchmarks'!A39:A56)*($M$23='Pathway B benchmarks'!B39:B56),0),1))</f>
        <v>#N/A</v>
      </c>
      <c r="AG23" s="349">
        <f t="shared" si="6"/>
        <v>0</v>
      </c>
      <c r="AH23" s="303"/>
      <c r="AI23" s="303"/>
      <c r="AJ23" s="344" t="str">
        <f t="shared" si="7"/>
        <v/>
      </c>
      <c r="AK23" s="339"/>
      <c r="AL23" s="363">
        <f>IF(AK23&gt;0,AK23*26.2*IF(OR(AH23&gt;$J$23,AI23&lt;$K$23), 0, IF(AH23&lt;$J$23,AI23-$J$23,IF($K$23&lt;AI23,AI23-$K$23,AJ23)))/AJ23,0)</f>
        <v>0</v>
      </c>
      <c r="AM23" s="345" t="e" cm="1">
        <f t="array" ref="AM23">IF('Pathway B benchmarks'!F39,INDEX('Pathway B benchmarks'!F39:F56,MATCH(1,($AL$6='Pathway B benchmarks'!A39:A56)*($M$23='Pathway B benchmarks'!B39:B56),0),1))</f>
        <v>#N/A</v>
      </c>
      <c r="AN23" s="347">
        <f t="shared" si="9"/>
        <v>0</v>
      </c>
      <c r="AO23" s="303"/>
      <c r="AP23" s="303"/>
      <c r="AQ23" s="344" t="str">
        <f t="shared" si="10"/>
        <v/>
      </c>
      <c r="AR23" s="339"/>
      <c r="AS23" s="363">
        <f>IF(AR23&gt;0,AR23*38.6*IF(OR(AO23&gt;$J$23,AP23&lt;$K$23), 0, IF(AO23&lt;$J$23,AP23-$J$23,IF($K$23&lt;AP23,AP23-$K$23,AQ23)))/AQ23,0)</f>
        <v>0</v>
      </c>
      <c r="AT23" s="345" t="e" cm="1">
        <f t="array" ref="AT23">IF('Pathway B benchmarks'!F39,INDEX('Pathway B benchmarks'!F39:F56,MATCH(1,($AS$6='Pathway B benchmarks'!A39:A56)*($M$23='Pathway B benchmarks'!B39:B56),0),1))</f>
        <v>#N/A</v>
      </c>
      <c r="AU23" s="347">
        <f t="shared" si="12"/>
        <v>0</v>
      </c>
      <c r="AV23" s="347" t="e">
        <f>IF($I23="","",IF($I23="Custom",0,INDEX('Pathway B benchmarks'!$17:$18,MATCH($I23,'Pathway B benchmarks'!$A$17:$A$18,0),MATCH($S23,'Pathway B benchmarks'!$17:$17,0))))</f>
        <v>#N/A</v>
      </c>
      <c r="AW23" s="347" t="e">
        <f>IF($I23="","",IF($I23="Custom",0,INDEX('Pathway B benchmarks'!$30:$34,2,MATCH($S23,'Pathway B benchmarks'!$30:$30,0))))</f>
        <v>#N/A</v>
      </c>
      <c r="AX23" s="345" t="e">
        <f>IF($AW$23=0,1,$Q$23/$AW$23)*$AV$23</f>
        <v>#N/A</v>
      </c>
      <c r="AY23" s="353" t="e">
        <f>$AX$23/1000*$Y23/0.0036</f>
        <v>#N/A</v>
      </c>
      <c r="AZ23" s="353" t="e">
        <f>$AY$23/70*100</f>
        <v>#N/A</v>
      </c>
      <c r="BA23" s="353" t="e">
        <f>(Z23+AG23+AN23+AU23)/P23</f>
        <v>#N/A</v>
      </c>
      <c r="BB23" s="350">
        <f t="shared" si="16"/>
        <v>0</v>
      </c>
      <c r="BC23" s="350" t="e">
        <f t="shared" si="17"/>
        <v>#N/A</v>
      </c>
      <c r="BD23" s="351">
        <f>IF(OR(E23="Whole Building", E23="Hotel", E23="School", E23="Data Centre (Whole facility)", E23="Residential Aged Care", E23="Retirement Living", E23="RAC and retirement (co-located)"),VLOOKUP(BB23,'Points Table'!$B$13:$C$36,2,TRUE),IF(OR(E23="Base Building", E23="Shopping Centre", E23="Apartment", E23="Warehouse and Cold Store", E23="Data Centre (Infrastructure)"),VLOOKUP(BB23,'Points Table'!$E$13:$F$33,2,TRUE),0))</f>
        <v>0</v>
      </c>
      <c r="BE23" s="352" t="str">
        <f>IF(AND($E$23="Whole Building", $BD$23&gt;=10), "YES", IF(AND($E$23="Base Building", $BD$23&gt;=8), "YES", "NO"))</f>
        <v>NO</v>
      </c>
    </row>
    <row r="24" spans="2:57">
      <c r="B24" s="300"/>
      <c r="C24" s="300"/>
      <c r="D24" s="300"/>
      <c r="E24" s="300"/>
      <c r="F24" s="300"/>
      <c r="G24" s="300"/>
      <c r="H24" s="300"/>
      <c r="I24" s="343" t="s">
        <v>943</v>
      </c>
      <c r="J24" s="274"/>
      <c r="K24" s="274"/>
      <c r="L24" s="359">
        <f t="shared" si="0"/>
        <v>1</v>
      </c>
      <c r="M24" s="362">
        <f t="shared" si="1"/>
        <v>1900</v>
      </c>
      <c r="N24" s="300"/>
      <c r="O24" s="300"/>
      <c r="P24" s="300"/>
      <c r="Q24" s="300"/>
      <c r="R24" s="300"/>
      <c r="S24" s="300"/>
      <c r="T24" s="303"/>
      <c r="U24" s="303"/>
      <c r="V24" s="344" t="str">
        <f t="shared" si="2"/>
        <v/>
      </c>
      <c r="W24" s="339"/>
      <c r="X24" s="363">
        <f>IF(W24&gt;0,W24*0.0036*IF(OR(T24&gt;$J$24,U24&lt;$K$24), 0, IF(T24&lt;$J$24,U24-$J$24,IF($K$24&lt;U24,U24-$K$24,V24)))/V24,0)</f>
        <v>0</v>
      </c>
      <c r="Y24" s="346" t="e" cm="1">
        <f t="array" ref="Y24">IF('Pathway B benchmarks'!C61,INDEX('Pathway B benchmarks'!C61:C63,MATCH(1,($I$7='Pathway B benchmarks'!A61:A63)*($M$24='Pathway B benchmarks'!B61:B63),0),1))</f>
        <v>#N/A</v>
      </c>
      <c r="Z24" s="347" t="e">
        <f t="shared" si="4"/>
        <v>#N/A</v>
      </c>
      <c r="AA24" s="303"/>
      <c r="AB24" s="303"/>
      <c r="AC24" s="344" t="str">
        <f t="shared" si="5"/>
        <v/>
      </c>
      <c r="AD24" s="339"/>
      <c r="AE24" s="364">
        <f>IF(AD24&gt;0,AD24*0.001*IF(OR(AA24&gt;$J$24,AB24&lt;$K$24), 0, IF(AA24&lt;$J$24,AB24-$J$24,IF($K$24&lt;AB24,AB24-$K$24,AC24)))/AC24,0)</f>
        <v>0</v>
      </c>
      <c r="AF24" s="348" t="e" cm="1">
        <f t="array" ref="AF24">IF('Pathway B benchmarks'!F39,INDEX('Pathway B benchmarks'!F39:F56,MATCH(1,($AE$6='Pathway B benchmarks'!A39:A56)*($M$24='Pathway B benchmarks'!B39:B56),0),1))</f>
        <v>#N/A</v>
      </c>
      <c r="AG24" s="349">
        <f t="shared" si="6"/>
        <v>0</v>
      </c>
      <c r="AH24" s="303"/>
      <c r="AI24" s="303"/>
      <c r="AJ24" s="344" t="str">
        <f t="shared" si="7"/>
        <v/>
      </c>
      <c r="AK24" s="339"/>
      <c r="AL24" s="363">
        <f>IF(AK24&gt;0,AK24*26.2*IF(OR(AH24&gt;$J$24,AI24&lt;$K$24), 0, IF(AH24&lt;$J$24,AI24-$J$24,IF($K$24&lt;AI24,AI24-$K$24,AJ24)))/AJ24,0)</f>
        <v>0</v>
      </c>
      <c r="AM24" s="345" t="e" cm="1">
        <f t="array" ref="AM24">IF('Pathway B benchmarks'!F39,INDEX('Pathway B benchmarks'!F39:F56,MATCH(1,($AL$6='Pathway B benchmarks'!A39:A56)*($M$24='Pathway B benchmarks'!B39:B56),0),1))</f>
        <v>#N/A</v>
      </c>
      <c r="AN24" s="347">
        <f t="shared" si="9"/>
        <v>0</v>
      </c>
      <c r="AO24" s="303"/>
      <c r="AP24" s="303"/>
      <c r="AQ24" s="344" t="str">
        <f t="shared" si="10"/>
        <v/>
      </c>
      <c r="AR24" s="339"/>
      <c r="AS24" s="363">
        <f>IF(AR24&gt;0,AR24*38.6*IF(OR(AO24&gt;$J$24,AP24&lt;$K$24), 0, IF(AO24&lt;$J$24,AP24-$J$24,IF($K$24&lt;AP24,AP24-$K$24,AQ24)))/AQ24,0)</f>
        <v>0</v>
      </c>
      <c r="AT24" s="345" t="e" cm="1">
        <f t="array" ref="AT24">IF('Pathway B benchmarks'!F39,INDEX('Pathway B benchmarks'!F39:F56,MATCH(1,($AS$6='Pathway B benchmarks'!A39:A56)*($M$24='Pathway B benchmarks'!B39:B56),0),1))</f>
        <v>#N/A</v>
      </c>
      <c r="AU24" s="347">
        <f t="shared" si="12"/>
        <v>0</v>
      </c>
      <c r="AV24" s="347" t="e">
        <f>IF($I24="","",IF($I24="Custom",0,INDEX('Pathway B benchmarks'!$17:$18,MATCH($I24,'Pathway B benchmarks'!$A$17:$A$18,0),MATCH($S24,'Pathway B benchmarks'!$17:$17,0))))</f>
        <v>#N/A</v>
      </c>
      <c r="AW24" s="347" t="e">
        <f>IF($I24="","",IF($I24="Custom",0,INDEX('Pathway B benchmarks'!$30:$34,2,MATCH($S24,'Pathway B benchmarks'!$30:$30,0))))</f>
        <v>#N/A</v>
      </c>
      <c r="AX24" s="345" t="e">
        <f>IF($AW$24=0,1,$Q$24/$AW$24)*$AV$24</f>
        <v>#N/A</v>
      </c>
      <c r="AY24" s="353" t="e">
        <f>$AX$24/1000*$Y24/0.0036</f>
        <v>#N/A</v>
      </c>
      <c r="AZ24" s="353" t="e">
        <f>$AY$24/70*100</f>
        <v>#N/A</v>
      </c>
      <c r="BA24" s="353" t="e">
        <f t="shared" si="15"/>
        <v>#N/A</v>
      </c>
      <c r="BB24" s="350">
        <f t="shared" si="16"/>
        <v>0</v>
      </c>
      <c r="BC24" s="350" t="e">
        <f t="shared" si="17"/>
        <v>#N/A</v>
      </c>
      <c r="BD24" s="351">
        <f>IF(OR(E24="Whole Building", E24="Hotel", E24="School", E24="Data Centre (Whole facility)", E24="Residential Aged Care", E24="Retirement Living", E24="RAC and retirement (co-located)"),VLOOKUP(BB24,'Points Table'!$B$13:$C$36,2,TRUE),IF(OR(E24="Base Building", E24="Shopping Centre", E24="Apartment", E24="Warehouse and Cold Store", E24="Data Centre (Infrastructure)"),VLOOKUP(BB24,'Points Table'!$E$13:$F$33,2,TRUE),0))</f>
        <v>0</v>
      </c>
      <c r="BE24" s="352" t="str">
        <f>IF(AND($E$24="Whole Building", $BD$24&gt;=10), "YES", IF(AND($E$24="Base Building", $BD$24&gt;=8), "YES", "NO"))</f>
        <v>NO</v>
      </c>
    </row>
    <row r="25" spans="2:57">
      <c r="B25" s="300"/>
      <c r="C25" s="300"/>
      <c r="D25" s="300"/>
      <c r="E25" s="300"/>
      <c r="F25" s="300"/>
      <c r="G25" s="300"/>
      <c r="H25" s="300"/>
      <c r="I25" s="343" t="s">
        <v>943</v>
      </c>
      <c r="J25" s="274"/>
      <c r="K25" s="274"/>
      <c r="L25" s="359">
        <f t="shared" si="0"/>
        <v>1</v>
      </c>
      <c r="M25" s="362">
        <f t="shared" si="1"/>
        <v>1900</v>
      </c>
      <c r="N25" s="300"/>
      <c r="O25" s="300"/>
      <c r="P25" s="300"/>
      <c r="Q25" s="300"/>
      <c r="R25" s="300"/>
      <c r="S25" s="300"/>
      <c r="T25" s="303"/>
      <c r="U25" s="303"/>
      <c r="V25" s="344" t="str">
        <f t="shared" si="2"/>
        <v/>
      </c>
      <c r="W25" s="339"/>
      <c r="X25" s="363">
        <f>IF(W25&gt;0,W25*0.0036*IF(OR(T25&gt;$J$25,U25&lt;$K$25), 0, IF(T25&lt;$J$25,U25-$J$25,IF($K$25&lt;U25,U25-$K$25,V25)))/V25,0)</f>
        <v>0</v>
      </c>
      <c r="Y25" s="346" t="e" cm="1">
        <f t="array" ref="Y25">IF('Pathway B benchmarks'!C61,INDEX('Pathway B benchmarks'!C61:C63,MATCH(1,($I$7='Pathway B benchmarks'!A61:A63)*($M$25='Pathway B benchmarks'!B61:B63),0),1))</f>
        <v>#N/A</v>
      </c>
      <c r="Z25" s="347" t="e">
        <f t="shared" si="4"/>
        <v>#N/A</v>
      </c>
      <c r="AA25" s="303"/>
      <c r="AB25" s="303"/>
      <c r="AC25" s="344" t="str">
        <f t="shared" si="5"/>
        <v/>
      </c>
      <c r="AD25" s="339"/>
      <c r="AE25" s="364">
        <f>IF(AD25&gt;0,AD25*0.001*IF(OR(AA25&gt;$J$25,AB25&lt;$K$25), 0, IF(AA25&lt;$J$25,AB25-$J$25,IF($K$25&lt;AB25,AB25-$K$25,AC25)))/AC25,0)</f>
        <v>0</v>
      </c>
      <c r="AF25" s="348" t="e" cm="1">
        <f t="array" ref="AF25">IF('Pathway B benchmarks'!F39,INDEX('Pathway B benchmarks'!F39:F56,MATCH(1,($AE$6='Pathway B benchmarks'!A39:A56)*($M$25='Pathway B benchmarks'!B39:B56),0),1))</f>
        <v>#N/A</v>
      </c>
      <c r="AG25" s="349">
        <f t="shared" si="6"/>
        <v>0</v>
      </c>
      <c r="AH25" s="303"/>
      <c r="AI25" s="303"/>
      <c r="AJ25" s="344" t="str">
        <f t="shared" si="7"/>
        <v/>
      </c>
      <c r="AK25" s="339"/>
      <c r="AL25" s="363">
        <f>IF(AK25&gt;0,AK25*26.2*IF(OR(AH25&gt;$J$25,AI25&lt;$K$25), 0, IF(AH25&lt;$J$25,AI25-$J$25,IF($K$25&lt;AI25,AI25-$K$25,AJ25)))/AJ25,0)</f>
        <v>0</v>
      </c>
      <c r="AM25" s="345" t="e" cm="1">
        <f t="array" ref="AM25">IF('Pathway B benchmarks'!F39,INDEX('Pathway B benchmarks'!F39:F56,MATCH(1,($AL$6='Pathway B benchmarks'!A39:A56)*($M$25='Pathway B benchmarks'!B39:B56),0),1))</f>
        <v>#N/A</v>
      </c>
      <c r="AN25" s="347">
        <f t="shared" si="9"/>
        <v>0</v>
      </c>
      <c r="AO25" s="303"/>
      <c r="AP25" s="303"/>
      <c r="AQ25" s="344" t="str">
        <f t="shared" si="10"/>
        <v/>
      </c>
      <c r="AR25" s="339"/>
      <c r="AS25" s="363">
        <f>IF(AR25&gt;0,AR25*38.6*IF(OR(AO25&gt;$J$25,AP25&lt;$K$25), 0, IF(AO25&lt;$J$25,AP25-$J$25,IF($K$25&lt;AP25,AP25-$K$25,AQ25)))/AQ25,0)</f>
        <v>0</v>
      </c>
      <c r="AT25" s="345" t="e" cm="1">
        <f t="array" ref="AT25">IF('Pathway B benchmarks'!F39,INDEX('Pathway B benchmarks'!F39:F56,MATCH(1,($AS$6='Pathway B benchmarks'!A39:A56)*($M$25='Pathway B benchmarks'!B39:B56),0),1))</f>
        <v>#N/A</v>
      </c>
      <c r="AU25" s="347">
        <f t="shared" si="12"/>
        <v>0</v>
      </c>
      <c r="AV25" s="347" t="e">
        <f>IF($I25="","",IF($I25="Custom",0,INDEX('Pathway B benchmarks'!$17:$18,MATCH($I25,'Pathway B benchmarks'!$A$17:$A$18,0),MATCH($S25,'Pathway B benchmarks'!$17:$17,0))))</f>
        <v>#N/A</v>
      </c>
      <c r="AW25" s="347" t="e">
        <f>IF($I25="","",IF($I25="Custom",0,INDEX('Pathway B benchmarks'!$30:$34,2,MATCH($S25,'Pathway B benchmarks'!$30:$30,0))))</f>
        <v>#N/A</v>
      </c>
      <c r="AX25" s="345" t="e">
        <f>IF($AW$25=0,1,$Q$25/$AW$25)*$AV$25</f>
        <v>#N/A</v>
      </c>
      <c r="AY25" s="353" t="e">
        <f>$AX$25/1000*$Y25/0.0036</f>
        <v>#N/A</v>
      </c>
      <c r="AZ25" s="353" t="e">
        <f>$AY$25/70*100</f>
        <v>#N/A</v>
      </c>
      <c r="BA25" s="353" t="e">
        <f t="shared" si="15"/>
        <v>#N/A</v>
      </c>
      <c r="BB25" s="350">
        <f t="shared" si="16"/>
        <v>0</v>
      </c>
      <c r="BC25" s="350" t="e">
        <f t="shared" si="17"/>
        <v>#N/A</v>
      </c>
      <c r="BD25" s="351">
        <f>IF(OR(E25="Whole Building", E25="Hotel", E25="School", E25="Data Centre (Whole facility)", E25="Residential Aged Care", E25="Retirement Living", E25="RAC and retirement (co-located)"),VLOOKUP(BB25,'Points Table'!$B$13:$C$36,2,TRUE),IF(OR(E25="Base Building", E25="Shopping Centre", E25="Apartment", E25="Warehouse and Cold Store", E25="Data Centre (Infrastructure)"),VLOOKUP(BB25,'Points Table'!$E$13:$F$33,2,TRUE),0))</f>
        <v>0</v>
      </c>
      <c r="BE25" s="352" t="str">
        <f>IF(AND($E$25="Whole Building", $BD$25&gt;=10), "YES", IF(AND($E$25="Base Building", $BD$25&gt;=8), "YES", "NO"))</f>
        <v>NO</v>
      </c>
    </row>
    <row r="26" spans="2:57">
      <c r="B26" s="300"/>
      <c r="C26" s="300"/>
      <c r="D26" s="300"/>
      <c r="E26" s="300"/>
      <c r="F26" s="300"/>
      <c r="G26" s="300"/>
      <c r="H26" s="300"/>
      <c r="I26" s="343" t="s">
        <v>943</v>
      </c>
      <c r="J26" s="274"/>
      <c r="K26" s="274"/>
      <c r="L26" s="359">
        <f t="shared" si="0"/>
        <v>1</v>
      </c>
      <c r="M26" s="362">
        <f t="shared" si="1"/>
        <v>1900</v>
      </c>
      <c r="N26" s="300"/>
      <c r="O26" s="300"/>
      <c r="P26" s="300"/>
      <c r="Q26" s="300"/>
      <c r="R26" s="300"/>
      <c r="S26" s="300"/>
      <c r="T26" s="303"/>
      <c r="U26" s="303"/>
      <c r="V26" s="344" t="str">
        <f t="shared" si="2"/>
        <v/>
      </c>
      <c r="W26" s="339"/>
      <c r="X26" s="363">
        <f>IF(W26&gt;0,W26*0.0036*IF(OR(T26&gt;$J$26,U26&lt;$K$26), 0, IF(T26&lt;$J$26,U26-$J$26,IF($K$26&lt;U26,U26-$K$26,V26)))/V26,0)</f>
        <v>0</v>
      </c>
      <c r="Y26" s="346" t="e" cm="1">
        <f t="array" ref="Y26">IF('Pathway B benchmarks'!C61,INDEX('Pathway B benchmarks'!C61:C63,MATCH(1,($I$7='Pathway B benchmarks'!A61:A63)*($M$26='Pathway B benchmarks'!B61:B63),0),1))</f>
        <v>#N/A</v>
      </c>
      <c r="Z26" s="347" t="e">
        <f t="shared" si="4"/>
        <v>#N/A</v>
      </c>
      <c r="AA26" s="303"/>
      <c r="AB26" s="303"/>
      <c r="AC26" s="344" t="str">
        <f t="shared" si="5"/>
        <v/>
      </c>
      <c r="AD26" s="339"/>
      <c r="AE26" s="364">
        <f>IF(AD26&gt;0,AD26*0.001*IF(OR(AA26&gt;$J$26,AB26&lt;$K$26), 0, IF(AA26&lt;$J$26,AB26-$J$26,IF($K$26&lt;AB26,AB26-$K$26,AC26)))/AC26,0)</f>
        <v>0</v>
      </c>
      <c r="AF26" s="348" t="e" cm="1">
        <f t="array" ref="AF26">IF('Pathway B benchmarks'!F39,INDEX('Pathway B benchmarks'!F39:F56,MATCH(1,($AE$6='Pathway B benchmarks'!A39:A56)*($M$26='Pathway B benchmarks'!B39:B56),0),1))</f>
        <v>#N/A</v>
      </c>
      <c r="AG26" s="349">
        <f t="shared" si="6"/>
        <v>0</v>
      </c>
      <c r="AH26" s="303"/>
      <c r="AI26" s="303"/>
      <c r="AJ26" s="344" t="str">
        <f t="shared" si="7"/>
        <v/>
      </c>
      <c r="AK26" s="339"/>
      <c r="AL26" s="363">
        <f>IF(AK26&gt;0,AK26*26.2*IF(OR(AH26&gt;$J$26,AI26&lt;$K$26), 0, IF(AH26&lt;$J$26,AI26-$J$26,IF($K$26&lt;AI26,AI26-$K$26,AJ26)))/AJ26,0)</f>
        <v>0</v>
      </c>
      <c r="AM26" s="345" t="e" cm="1">
        <f t="array" ref="AM26">IF('Pathway B benchmarks'!F39,INDEX('Pathway B benchmarks'!F39:F56,MATCH(1,($AL$6='Pathway B benchmarks'!A39:A56)*($M$26='Pathway B benchmarks'!B39:B56),0),1))</f>
        <v>#N/A</v>
      </c>
      <c r="AN26" s="347">
        <f t="shared" si="9"/>
        <v>0</v>
      </c>
      <c r="AO26" s="303"/>
      <c r="AP26" s="303"/>
      <c r="AQ26" s="344" t="str">
        <f t="shared" si="10"/>
        <v/>
      </c>
      <c r="AR26" s="339"/>
      <c r="AS26" s="363">
        <f>IF(AR26&gt;0,AR26*38.6*IF(OR(AO26&gt;$J$26,AP26&lt;$K$26), 0, IF(AO26&lt;$J$26,AP26-$J$26,IF($K$26&lt;AP26,AP26-$K$26,AQ26)))/AQ26,0)</f>
        <v>0</v>
      </c>
      <c r="AT26" s="345" t="e" cm="1">
        <f t="array" ref="AT26">IF('Pathway B benchmarks'!F39,INDEX('Pathway B benchmarks'!F39:F56,MATCH(1,($AS$6='Pathway B benchmarks'!A39:A56)*($M$26='Pathway B benchmarks'!B39:B56),0),1))</f>
        <v>#N/A</v>
      </c>
      <c r="AU26" s="347">
        <f t="shared" si="12"/>
        <v>0</v>
      </c>
      <c r="AV26" s="347" t="e">
        <f>IF($I26="","",IF($I26="Custom",0,INDEX('Pathway B benchmarks'!$17:$18,MATCH($I26,'Pathway B benchmarks'!$A$17:$A$18,0),MATCH($S26,'Pathway B benchmarks'!$17:$17,0))))</f>
        <v>#N/A</v>
      </c>
      <c r="AW26" s="347" t="e">
        <f>IF($I26="","",IF($I26="Custom",0,INDEX('Pathway B benchmarks'!$30:$34,2,MATCH($S26,'Pathway B benchmarks'!$30:$30,0))))</f>
        <v>#N/A</v>
      </c>
      <c r="AX26" s="345" t="e">
        <f>IF($AW$26=0,1,$Q$26/$AW$26)*$AV$26</f>
        <v>#N/A</v>
      </c>
      <c r="AY26" s="353" t="e">
        <f>$AX$26/1000*$Y26/0.0036</f>
        <v>#N/A</v>
      </c>
      <c r="AZ26" s="353" t="e">
        <f>$AY$26/70*100</f>
        <v>#N/A</v>
      </c>
      <c r="BA26" s="353" t="e">
        <f t="shared" si="15"/>
        <v>#N/A</v>
      </c>
      <c r="BB26" s="350">
        <f t="shared" si="16"/>
        <v>0</v>
      </c>
      <c r="BC26" s="350" t="e">
        <f t="shared" si="17"/>
        <v>#N/A</v>
      </c>
      <c r="BD26" s="351">
        <f>IF(OR(E26="Whole Building", E26="Hotel", E26="School", E26="Data Centre (Whole facility)", E26="Residential Aged Care", E26="Retirement Living", E26="RAC and retirement (co-located)"),VLOOKUP(BB26,'Points Table'!$B$13:$C$36,2,TRUE),IF(OR(E26="Base Building", E26="Shopping Centre", E26="Apartment", E26="Warehouse and Cold Store", E26="Data Centre (Infrastructure)"),VLOOKUP(BB26,'Points Table'!$E$13:$F$33,2,TRUE),0))</f>
        <v>0</v>
      </c>
      <c r="BE26" s="352" t="str">
        <f>IF(AND($E$26="Whole Building", $BD$26&gt;=10), "YES", IF(AND($E$26="Base Building", $BD$26&gt;=8), "YES", "NO"))</f>
        <v>NO</v>
      </c>
    </row>
    <row r="27" spans="2:57">
      <c r="B27" s="300"/>
      <c r="C27" s="300"/>
      <c r="D27" s="300"/>
      <c r="E27" s="300"/>
      <c r="F27" s="300"/>
      <c r="G27" s="300"/>
      <c r="H27" s="300"/>
      <c r="I27" s="343" t="s">
        <v>943</v>
      </c>
      <c r="J27" s="274"/>
      <c r="K27" s="274"/>
      <c r="L27" s="359">
        <f t="shared" si="0"/>
        <v>1</v>
      </c>
      <c r="M27" s="362">
        <f t="shared" si="1"/>
        <v>1900</v>
      </c>
      <c r="N27" s="300"/>
      <c r="O27" s="300"/>
      <c r="P27" s="300"/>
      <c r="Q27" s="300"/>
      <c r="R27" s="300"/>
      <c r="S27" s="300"/>
      <c r="T27" s="303"/>
      <c r="U27" s="303"/>
      <c r="V27" s="344" t="str">
        <f t="shared" si="2"/>
        <v/>
      </c>
      <c r="W27" s="339"/>
      <c r="X27" s="363">
        <f>IF(W27&gt;0,W27*0.0036*IF(OR(T27&gt;$J$27,U27&lt;$K$27), 0, IF(T27&lt;$J$27,U27-$J$27,IF($K$27&lt;U27,U27-$K$27,V27)))/V27,0)</f>
        <v>0</v>
      </c>
      <c r="Y27" s="346" t="e" cm="1">
        <f t="array" ref="Y27">IF('Pathway B benchmarks'!C61,INDEX('Pathway B benchmarks'!C61:C63,MATCH(1,($I$7='Pathway B benchmarks'!A61:A63)*($M$27='Pathway B benchmarks'!B61:B63),0),1))</f>
        <v>#N/A</v>
      </c>
      <c r="Z27" s="347" t="e">
        <f t="shared" si="4"/>
        <v>#N/A</v>
      </c>
      <c r="AA27" s="303"/>
      <c r="AB27" s="303"/>
      <c r="AC27" s="344" t="str">
        <f t="shared" si="5"/>
        <v/>
      </c>
      <c r="AD27" s="339"/>
      <c r="AE27" s="364">
        <f>IF(AD27&gt;0,AD27*0.001*IF(OR(AA27&gt;$J$27,AB27&lt;$K$27), 0, IF(AA27&lt;$J$27,AB27-$J$27,IF($K$27&lt;AB27,AB27-$K$27,AC27)))/AC27,0)</f>
        <v>0</v>
      </c>
      <c r="AF27" s="348" t="e" cm="1">
        <f t="array" ref="AF27">IF('Pathway B benchmarks'!F39,INDEX('Pathway B benchmarks'!F39:F56,MATCH(1,($AE$6='Pathway B benchmarks'!A39:A56)*($M$27='Pathway B benchmarks'!B39:B56),0),1))</f>
        <v>#N/A</v>
      </c>
      <c r="AG27" s="349">
        <f t="shared" si="6"/>
        <v>0</v>
      </c>
      <c r="AH27" s="303"/>
      <c r="AI27" s="303"/>
      <c r="AJ27" s="344" t="str">
        <f t="shared" si="7"/>
        <v/>
      </c>
      <c r="AK27" s="339"/>
      <c r="AL27" s="363">
        <f>IF(AK27&gt;0,AK27*26.2*IF(OR(AH27&gt;$J$27,AI27&lt;$K$27), 0, IF(AH27&lt;$J$27,AI27-$J$27,IF($K$27&lt;AI27,AI27-$K$27,AJ27)))/AJ27,0)</f>
        <v>0</v>
      </c>
      <c r="AM27" s="345" t="e" cm="1">
        <f t="array" ref="AM27">IF('Pathway B benchmarks'!F39,INDEX('Pathway B benchmarks'!F39:F56,MATCH(1,($AL$6='Pathway B benchmarks'!A39:A56)*($M$27='Pathway B benchmarks'!B39:B56),0),1))</f>
        <v>#N/A</v>
      </c>
      <c r="AN27" s="347">
        <f t="shared" si="9"/>
        <v>0</v>
      </c>
      <c r="AO27" s="303"/>
      <c r="AP27" s="303"/>
      <c r="AQ27" s="344" t="str">
        <f t="shared" si="10"/>
        <v/>
      </c>
      <c r="AR27" s="339"/>
      <c r="AS27" s="363">
        <f>IF(AR27&gt;0,AR27*38.6*IF(OR(AO27&gt;$J$27,AP27&lt;$K$27), 0, IF(AO27&lt;$J$27,AP27-$J$27,IF($K$27&lt;AP27,AP27-$K$27,AQ27)))/AQ27,0)</f>
        <v>0</v>
      </c>
      <c r="AT27" s="345" t="e" cm="1">
        <f t="array" ref="AT27">IF('Pathway B benchmarks'!F39,INDEX('Pathway B benchmarks'!F39:F56,MATCH(1,($AS$6='Pathway B benchmarks'!A39:A56)*($M$27='Pathway B benchmarks'!B39:B56),0),1))</f>
        <v>#N/A</v>
      </c>
      <c r="AU27" s="347">
        <f t="shared" si="12"/>
        <v>0</v>
      </c>
      <c r="AV27" s="347" t="e">
        <f>IF($I27="","",IF($I27="Custom",0,INDEX('Pathway B benchmarks'!$17:$18,MATCH($I27,'Pathway B benchmarks'!$A$17:$A$18,0),MATCH($S27,'Pathway B benchmarks'!$17:$17,0))))</f>
        <v>#N/A</v>
      </c>
      <c r="AW27" s="347" t="e">
        <f>IF($I27="","",IF($I27="Custom",0,INDEX('Pathway B benchmarks'!$30:$34,2,MATCH($S27,'Pathway B benchmarks'!$30:$30,0))))</f>
        <v>#N/A</v>
      </c>
      <c r="AX27" s="345" t="e">
        <f>IF($AW$27=0,1,$Q$27/$AW$27)*$AV$27</f>
        <v>#N/A</v>
      </c>
      <c r="AY27" s="353" t="e">
        <f>$AX$27/1000*$Y27/0.0036</f>
        <v>#N/A</v>
      </c>
      <c r="AZ27" s="353" t="e">
        <f>$AY$27/70*100</f>
        <v>#N/A</v>
      </c>
      <c r="BA27" s="353" t="e">
        <f t="shared" si="15"/>
        <v>#N/A</v>
      </c>
      <c r="BB27" s="350">
        <f t="shared" si="16"/>
        <v>0</v>
      </c>
      <c r="BC27" s="350" t="e">
        <f t="shared" si="17"/>
        <v>#N/A</v>
      </c>
      <c r="BD27" s="351">
        <f>IF(OR(E27="Whole Building", E27="Hotel", E27="School", E27="Data Centre (Whole facility)", E27="Residential Aged Care", E27="Retirement Living", E27="RAC and retirement (co-located)"),VLOOKUP(BB27,'Points Table'!$B$13:$C$36,2,TRUE),IF(OR(E27="Base Building", E27="Shopping Centre", E27="Apartment", E27="Warehouse and Cold Store", E27="Data Centre (Infrastructure)"),VLOOKUP(BB27,'Points Table'!$E$13:$F$33,2,TRUE),0))</f>
        <v>0</v>
      </c>
      <c r="BE27" s="352" t="str">
        <f>IF(AND($E$27="Whole Building", $BD$27&gt;=10), "YES", IF(AND($E$27="Base Building", $BD$27&gt;=8), "YES", "NO"))</f>
        <v>NO</v>
      </c>
    </row>
    <row r="28" spans="2:57">
      <c r="B28" s="300"/>
      <c r="C28" s="300"/>
      <c r="D28" s="300"/>
      <c r="E28" s="300"/>
      <c r="F28" s="300"/>
      <c r="G28" s="300"/>
      <c r="H28" s="300"/>
      <c r="I28" s="343" t="s">
        <v>943</v>
      </c>
      <c r="J28" s="274"/>
      <c r="K28" s="274"/>
      <c r="L28" s="359">
        <f t="shared" si="0"/>
        <v>1</v>
      </c>
      <c r="M28" s="362">
        <f t="shared" si="1"/>
        <v>1900</v>
      </c>
      <c r="N28" s="300"/>
      <c r="O28" s="300"/>
      <c r="P28" s="300"/>
      <c r="Q28" s="300"/>
      <c r="R28" s="300"/>
      <c r="S28" s="300"/>
      <c r="T28" s="303"/>
      <c r="U28" s="303"/>
      <c r="V28" s="344" t="str">
        <f t="shared" si="2"/>
        <v/>
      </c>
      <c r="W28" s="339"/>
      <c r="X28" s="363">
        <f>IF(W28&gt;0,W28*0.0036*IF(OR(T28&gt;$J$28,U28&lt;$K$28), 0, IF(T28&lt;$J$28,U28-$J$28,IF($K$28&lt;U28,U28-$K$28,V28)))/V28,0)</f>
        <v>0</v>
      </c>
      <c r="Y28" s="346" t="e" cm="1">
        <f t="array" ref="Y28">IF('Pathway B benchmarks'!C61,INDEX('Pathway B benchmarks'!C61:C63,MATCH(1,($I$7='Pathway B benchmarks'!A61:A63)*($M$28='Pathway B benchmarks'!B61:B63),0),1))</f>
        <v>#N/A</v>
      </c>
      <c r="Z28" s="347" t="e">
        <f t="shared" si="4"/>
        <v>#N/A</v>
      </c>
      <c r="AA28" s="303"/>
      <c r="AB28" s="303"/>
      <c r="AC28" s="344" t="str">
        <f t="shared" si="5"/>
        <v/>
      </c>
      <c r="AD28" s="339"/>
      <c r="AE28" s="364">
        <f>IF(AD28&gt;0,AD28*0.001*IF(OR(AA28&gt;$J$28,AB28&lt;$K$28), 0, IF(AA28&lt;$J$28,AB28-$J$28,IF($K$28&lt;AB28,AB28-$K$28,AC28)))/AC28,0)</f>
        <v>0</v>
      </c>
      <c r="AF28" s="348" t="e" cm="1">
        <f t="array" ref="AF28">IF('Pathway B benchmarks'!F39,INDEX('Pathway B benchmarks'!F39:F56,MATCH(1,($AE$6='Pathway B benchmarks'!A39:A56)*($M$28='Pathway B benchmarks'!B39:B56),0),1))</f>
        <v>#N/A</v>
      </c>
      <c r="AG28" s="349">
        <f t="shared" si="6"/>
        <v>0</v>
      </c>
      <c r="AH28" s="303"/>
      <c r="AI28" s="303"/>
      <c r="AJ28" s="344" t="str">
        <f t="shared" si="7"/>
        <v/>
      </c>
      <c r="AK28" s="339"/>
      <c r="AL28" s="363">
        <f>IF(AK28&gt;0,AK28*26.2*IF(OR(AH28&gt;$J$28,AI28&lt;$K$28), 0, IF(AH28&lt;$J$28,AI28-$J$28,IF($K$28&lt;AI28,AI28-$K$28,AJ28)))/AJ28,0)</f>
        <v>0</v>
      </c>
      <c r="AM28" s="345" t="e" cm="1">
        <f t="array" ref="AM28">IF('Pathway B benchmarks'!F39,INDEX('Pathway B benchmarks'!F39:F56,MATCH(1,($AL$6='Pathway B benchmarks'!A39:A56)*($M$28='Pathway B benchmarks'!B39:B56),0),1))</f>
        <v>#N/A</v>
      </c>
      <c r="AN28" s="347">
        <f t="shared" si="9"/>
        <v>0</v>
      </c>
      <c r="AO28" s="303"/>
      <c r="AP28" s="303"/>
      <c r="AQ28" s="344" t="str">
        <f t="shared" si="10"/>
        <v/>
      </c>
      <c r="AR28" s="339"/>
      <c r="AS28" s="363">
        <f>IF(AR28&gt;0,AR28*38.6*IF(OR(AO28&gt;$J$28,AP28&lt;$K$28), 0, IF(AO28&lt;$J$28,AP28-$J$28,IF($K$28&lt;AP28,AP28-$K$28,AQ28)))/AQ28,0)</f>
        <v>0</v>
      </c>
      <c r="AT28" s="345" t="e" cm="1">
        <f t="array" ref="AT28">IF('Pathway B benchmarks'!F39,INDEX('Pathway B benchmarks'!F39:F56,MATCH(1,($AS$6='Pathway B benchmarks'!A39:A56)*($M$28='Pathway B benchmarks'!B39:B56),0),1))</f>
        <v>#N/A</v>
      </c>
      <c r="AU28" s="347">
        <f t="shared" si="12"/>
        <v>0</v>
      </c>
      <c r="AV28" s="347" t="e">
        <f>IF($I28="","",IF($I28="Custom",0,INDEX('Pathway B benchmarks'!$17:$18,MATCH($I28,'Pathway B benchmarks'!$A$17:$A$18,0),MATCH($S28,'Pathway B benchmarks'!$17:$17,0))))</f>
        <v>#N/A</v>
      </c>
      <c r="AW28" s="347" t="e">
        <f>IF($I28="","",IF($I28="Custom",0,INDEX('Pathway B benchmarks'!$30:$34,2,MATCH($S28,'Pathway B benchmarks'!$30:$30,0))))</f>
        <v>#N/A</v>
      </c>
      <c r="AX28" s="345" t="e">
        <f>IF($AW$28=0,1,$Q$28/$AW$28)*$AV$28</f>
        <v>#N/A</v>
      </c>
      <c r="AY28" s="353" t="e">
        <f>$AX$28/1000*$Y28/0.0036</f>
        <v>#N/A</v>
      </c>
      <c r="AZ28" s="353" t="e">
        <f>$AY$28/70*100</f>
        <v>#N/A</v>
      </c>
      <c r="BA28" s="353" t="e">
        <f t="shared" si="15"/>
        <v>#N/A</v>
      </c>
      <c r="BB28" s="350">
        <f t="shared" si="16"/>
        <v>0</v>
      </c>
      <c r="BC28" s="350" t="e">
        <f t="shared" si="17"/>
        <v>#N/A</v>
      </c>
      <c r="BD28" s="351">
        <f>IF(OR(E28="Whole Building", E28="Hotel", E28="School", E28="Data Centre (Whole facility)", E28="Residential Aged Care", E28="Retirement Living", E28="RAC and retirement (co-located)"),VLOOKUP(BB28,'Points Table'!$B$13:$C$36,2,TRUE),IF(OR(E28="Base Building", E28="Shopping Centre", E28="Apartment", E28="Warehouse and Cold Store", E28="Data Centre (Infrastructure)"),VLOOKUP(BB28,'Points Table'!$E$13:$F$33,2,TRUE),0))</f>
        <v>0</v>
      </c>
      <c r="BE28" s="352" t="str">
        <f>IF(AND($E$28="Whole Building", $BD$28&gt;=10), "YES", IF(AND($E$28="Base Building", $BD$28&gt;=8), "YES", "NO"))</f>
        <v>NO</v>
      </c>
    </row>
    <row r="29" spans="2:57">
      <c r="B29" s="300"/>
      <c r="C29" s="300"/>
      <c r="D29" s="300"/>
      <c r="E29" s="300"/>
      <c r="F29" s="300"/>
      <c r="G29" s="300"/>
      <c r="H29" s="300"/>
      <c r="I29" s="343" t="s">
        <v>943</v>
      </c>
      <c r="J29" s="274"/>
      <c r="K29" s="274"/>
      <c r="L29" s="359">
        <f t="shared" si="0"/>
        <v>1</v>
      </c>
      <c r="M29" s="362">
        <f t="shared" si="1"/>
        <v>1900</v>
      </c>
      <c r="N29" s="300"/>
      <c r="O29" s="300"/>
      <c r="P29" s="300"/>
      <c r="Q29" s="300"/>
      <c r="R29" s="300"/>
      <c r="S29" s="300"/>
      <c r="T29" s="303"/>
      <c r="U29" s="303"/>
      <c r="V29" s="344" t="str">
        <f t="shared" si="2"/>
        <v/>
      </c>
      <c r="W29" s="339"/>
      <c r="X29" s="363">
        <f>IF(W29&gt;0,W29*0.0036*IF(OR(T29&gt;$J$29,U29&lt;$K$29), 0, IF(T29&lt;$J$29,U29-$J$29,IF($K$29&lt;U29,U29-$K$29,V29)))/V29,0)</f>
        <v>0</v>
      </c>
      <c r="Y29" s="346" t="e" cm="1">
        <f t="array" ref="Y29">IF('Pathway B benchmarks'!C61,INDEX('Pathway B benchmarks'!C61:C63,MATCH(1,($I$7='Pathway B benchmarks'!A61:A63)*($M$29='Pathway B benchmarks'!B61:B63),0),1))</f>
        <v>#N/A</v>
      </c>
      <c r="Z29" s="347" t="e">
        <f t="shared" si="4"/>
        <v>#N/A</v>
      </c>
      <c r="AA29" s="303"/>
      <c r="AB29" s="303"/>
      <c r="AC29" s="344" t="str">
        <f t="shared" si="5"/>
        <v/>
      </c>
      <c r="AD29" s="339"/>
      <c r="AE29" s="364">
        <f>IF(AD29&gt;0,AD29*0.001*IF(OR(AA29&gt;$J$29,AB29&lt;$K$29), 0, IF(AA29&lt;$J$29,AB29-$J$29,IF($K$29&lt;AB29,AB29-$K$29,AC29)))/AC29,0)</f>
        <v>0</v>
      </c>
      <c r="AF29" s="348" t="e" cm="1">
        <f t="array" ref="AF29">IF('Pathway B benchmarks'!F39,INDEX('Pathway B benchmarks'!F39:F56,MATCH(1,($AE$6='Pathway B benchmarks'!A39:A56)*($M$29='Pathway B benchmarks'!B39:B56),0),1))</f>
        <v>#N/A</v>
      </c>
      <c r="AG29" s="349">
        <f t="shared" si="6"/>
        <v>0</v>
      </c>
      <c r="AH29" s="303"/>
      <c r="AI29" s="303"/>
      <c r="AJ29" s="344" t="str">
        <f t="shared" si="7"/>
        <v/>
      </c>
      <c r="AK29" s="339"/>
      <c r="AL29" s="363">
        <f>IF(AK29&gt;0,AK29*26.2*IF(OR(AH29&gt;$J$29,AI29&lt;$K$29), 0, IF(AH29&lt;$J$29,AI29-$J$29,IF($K$29&lt;AI29,AI29-$K$29,AJ29)))/AJ29,0)</f>
        <v>0</v>
      </c>
      <c r="AM29" s="345" t="e" cm="1">
        <f t="array" ref="AM29">IF('Pathway B benchmarks'!F39,INDEX('Pathway B benchmarks'!F39:F56,MATCH(1,($AL$6='Pathway B benchmarks'!A39:A56)*($M$29='Pathway B benchmarks'!B39:B56),0),1))</f>
        <v>#N/A</v>
      </c>
      <c r="AN29" s="347">
        <f t="shared" si="9"/>
        <v>0</v>
      </c>
      <c r="AO29" s="303"/>
      <c r="AP29" s="303"/>
      <c r="AQ29" s="344" t="str">
        <f t="shared" si="10"/>
        <v/>
      </c>
      <c r="AR29" s="339"/>
      <c r="AS29" s="363">
        <f>IF(AR29&gt;0,AR29*38.6*IF(OR(AO29&gt;$J$29,AP29&lt;$K$29), 0, IF(AO29&lt;$J$29,AP29-$J$29,IF($K$29&lt;AP29,AP29-$K$29,AQ29)))/AQ29,0)</f>
        <v>0</v>
      </c>
      <c r="AT29" s="345" t="e" cm="1">
        <f t="array" ref="AT29">IF('Pathway B benchmarks'!F39,INDEX('Pathway B benchmarks'!F39:F56,MATCH(1,($AS$6='Pathway B benchmarks'!A39:A56)*($M$29='Pathway B benchmarks'!B39:B56),0),1))</f>
        <v>#N/A</v>
      </c>
      <c r="AU29" s="347">
        <f t="shared" si="12"/>
        <v>0</v>
      </c>
      <c r="AV29" s="347" t="e">
        <f>IF($I29="","",IF($I29="Custom",0,INDEX('Pathway B benchmarks'!$17:$18,MATCH($I29,'Pathway B benchmarks'!$A$17:$A$18,0),MATCH($S29,'Pathway B benchmarks'!$17:$17,0))))</f>
        <v>#N/A</v>
      </c>
      <c r="AW29" s="347" t="e">
        <f>IF($I29="","",IF($I29="Custom",0,INDEX('Pathway B benchmarks'!$30:$34,2,MATCH($S29,'Pathway B benchmarks'!$30:$30,0))))</f>
        <v>#N/A</v>
      </c>
      <c r="AX29" s="345" t="e">
        <f>IF($AW$29=0,1,$Q$29/$AW$29)*$AV$29</f>
        <v>#N/A</v>
      </c>
      <c r="AY29" s="353" t="e">
        <f>$AX$29/1000*$Y29/0.0036</f>
        <v>#N/A</v>
      </c>
      <c r="AZ29" s="353" t="e">
        <f>$AY$29/70*100</f>
        <v>#N/A</v>
      </c>
      <c r="BA29" s="353" t="e">
        <f t="shared" si="15"/>
        <v>#N/A</v>
      </c>
      <c r="BB29" s="350">
        <f t="shared" si="16"/>
        <v>0</v>
      </c>
      <c r="BC29" s="350" t="e">
        <f t="shared" si="17"/>
        <v>#N/A</v>
      </c>
      <c r="BD29" s="351">
        <f>IF(OR(E29="Whole Building", E29="Hotel", E29="School", E29="Data Centre (Whole facility)", E29="Residential Aged Care", E29="Retirement Living", E29="RAC and retirement (co-located)"),VLOOKUP(BB29,'Points Table'!$B$13:$C$36,2,TRUE),IF(OR(E29="Base Building", E29="Shopping Centre", E29="Apartment", E29="Warehouse and Cold Store", E29="Data Centre (Infrastructure)"),VLOOKUP(BB29,'Points Table'!$E$13:$F$33,2,TRUE),0))</f>
        <v>0</v>
      </c>
      <c r="BE29" s="352" t="str">
        <f>IF(AND($E$29="Whole Building", $BD$29&gt;=10), "YES", IF(AND($E$29="Base Building", $BD$29&gt;=8), "YES", "NO"))</f>
        <v>NO</v>
      </c>
    </row>
    <row r="30" spans="2:57">
      <c r="B30" s="300"/>
      <c r="C30" s="300"/>
      <c r="D30" s="300"/>
      <c r="E30" s="300"/>
      <c r="F30" s="300"/>
      <c r="G30" s="300"/>
      <c r="H30" s="300"/>
      <c r="I30" s="343" t="s">
        <v>943</v>
      </c>
      <c r="J30" s="274"/>
      <c r="K30" s="274"/>
      <c r="L30" s="359">
        <f t="shared" si="0"/>
        <v>1</v>
      </c>
      <c r="M30" s="362">
        <f t="shared" si="1"/>
        <v>1900</v>
      </c>
      <c r="N30" s="300"/>
      <c r="O30" s="300"/>
      <c r="P30" s="300"/>
      <c r="Q30" s="300"/>
      <c r="R30" s="300"/>
      <c r="S30" s="300"/>
      <c r="T30" s="303"/>
      <c r="U30" s="303"/>
      <c r="V30" s="344" t="str">
        <f t="shared" si="2"/>
        <v/>
      </c>
      <c r="W30" s="339"/>
      <c r="X30" s="363">
        <f>IF(W30&gt;0,W30*0.0036*IF(OR(T30&gt;$J$30,U30&lt;$K$30), 0, IF(T30&lt;$J$30,U30-$J$30,IF($K$30&lt;U30,U30-$K$30,V30)))/V30,0)</f>
        <v>0</v>
      </c>
      <c r="Y30" s="346" t="e" cm="1">
        <f t="array" ref="Y30">IF('Pathway B benchmarks'!C61,INDEX('Pathway B benchmarks'!C61:C63,MATCH(1,($I$7='Pathway B benchmarks'!A61:A63)*($M$30='Pathway B benchmarks'!B61:B63),0),1))</f>
        <v>#N/A</v>
      </c>
      <c r="Z30" s="347" t="e">
        <f t="shared" si="4"/>
        <v>#N/A</v>
      </c>
      <c r="AA30" s="303"/>
      <c r="AB30" s="303"/>
      <c r="AC30" s="344" t="str">
        <f t="shared" si="5"/>
        <v/>
      </c>
      <c r="AD30" s="339"/>
      <c r="AE30" s="364">
        <f>IF(AD30&gt;0,AD30*0.001*IF(OR(AA30&gt;$J$30,AB30&lt;$K$30), 0, IF(AA30&lt;$J$30,AB30-$J$30,IF($K$30&lt;AB30,AB30-$K$30,AC30)))/AC30,0)</f>
        <v>0</v>
      </c>
      <c r="AF30" s="348" t="e" cm="1">
        <f t="array" ref="AF30">IF('Pathway B benchmarks'!F39,INDEX('Pathway B benchmarks'!F39:F56,MATCH(1,($AE$6='Pathway B benchmarks'!A39:A56)*($M$30='Pathway B benchmarks'!B39:B56),0),1))</f>
        <v>#N/A</v>
      </c>
      <c r="AG30" s="349">
        <f t="shared" si="6"/>
        <v>0</v>
      </c>
      <c r="AH30" s="303"/>
      <c r="AI30" s="303"/>
      <c r="AJ30" s="344" t="str">
        <f t="shared" si="7"/>
        <v/>
      </c>
      <c r="AK30" s="339"/>
      <c r="AL30" s="363">
        <f>IF(AK30&gt;0,AK30*26.2*IF(OR(AH30&gt;$J$30,AI30&lt;$K$30), 0, IF(AH30&lt;$J$30,AI30-$J$30,IF($K$30&lt;AI30,AI30-$K$30,AJ30)))/AJ30,0)</f>
        <v>0</v>
      </c>
      <c r="AM30" s="345" t="e" cm="1">
        <f t="array" ref="AM30">IF('Pathway B benchmarks'!F39,INDEX('Pathway B benchmarks'!F39:F56,MATCH(1,($AL$6='Pathway B benchmarks'!A39:A56)*($M$30='Pathway B benchmarks'!B39:B56),0),1))</f>
        <v>#N/A</v>
      </c>
      <c r="AN30" s="347">
        <f t="shared" si="9"/>
        <v>0</v>
      </c>
      <c r="AO30" s="303"/>
      <c r="AP30" s="303"/>
      <c r="AQ30" s="344" t="str">
        <f t="shared" si="10"/>
        <v/>
      </c>
      <c r="AR30" s="339"/>
      <c r="AS30" s="363">
        <f>IF(AR30&gt;0,AR30*38.6*IF(OR(AO30&gt;$J$30,AP30&lt;$K$30), 0, IF(AO30&lt;$J$30,AP30-$J$30,IF($K$30&lt;AP30,AP30-$K$30,AQ30)))/AQ30,0)</f>
        <v>0</v>
      </c>
      <c r="AT30" s="345" t="e" cm="1">
        <f t="array" ref="AT30">IF('Pathway B benchmarks'!F39,INDEX('Pathway B benchmarks'!F39:F56,MATCH(1,($AS$6='Pathway B benchmarks'!A39:A56)*($M$30='Pathway B benchmarks'!B39:B56),0),1))</f>
        <v>#N/A</v>
      </c>
      <c r="AU30" s="347">
        <f t="shared" si="12"/>
        <v>0</v>
      </c>
      <c r="AV30" s="347" t="e">
        <f>IF($I30="","",IF($I30="Custom",0,INDEX('Pathway B benchmarks'!$17:$18,MATCH($I30,'Pathway B benchmarks'!$A$17:$A$18,0),MATCH($S30,'Pathway B benchmarks'!$17:$17,0))))</f>
        <v>#N/A</v>
      </c>
      <c r="AW30" s="347" t="e">
        <f>IF($I30="","",IF($I30="Custom",0,INDEX('Pathway B benchmarks'!$30:$34,2,MATCH($S30,'Pathway B benchmarks'!$30:$30,0))))</f>
        <v>#N/A</v>
      </c>
      <c r="AX30" s="345" t="e">
        <f>IF($AW$30=0,1,$Q$30/$AW$30)*$AV$30</f>
        <v>#N/A</v>
      </c>
      <c r="AY30" s="353" t="e">
        <f>$AX$30/1000*$Y30/0.0036</f>
        <v>#N/A</v>
      </c>
      <c r="AZ30" s="353" t="e">
        <f>$AY$30/70*100</f>
        <v>#N/A</v>
      </c>
      <c r="BA30" s="353" t="e">
        <f t="shared" si="15"/>
        <v>#N/A</v>
      </c>
      <c r="BB30" s="350">
        <f t="shared" si="16"/>
        <v>0</v>
      </c>
      <c r="BC30" s="350" t="e">
        <f t="shared" si="17"/>
        <v>#N/A</v>
      </c>
      <c r="BD30" s="351">
        <f>IF(OR(E30="Whole Building", E30="Hotel", E30="School", E30="Data Centre (Whole facility)", E30="Residential Aged Care", E30="Retirement Living", E30="RAC and retirement (co-located)"),VLOOKUP(BB30,'Points Table'!$B$13:$C$36,2,TRUE),IF(OR(E30="Base Building", E30="Shopping Centre", E30="Apartment", E30="Warehouse and Cold Store", E30="Data Centre (Infrastructure)"),VLOOKUP(BB30,'Points Table'!$E$13:$F$33,2,TRUE),0))</f>
        <v>0</v>
      </c>
      <c r="BE30" s="352" t="str">
        <f>IF(AND($E$30="Whole Building", $BD$30&gt;=10), "YES", IF(AND($E$30="Base Building", $BD$30&gt;=8), "YES", "NO"))</f>
        <v>NO</v>
      </c>
    </row>
    <row r="31" spans="2:57">
      <c r="B31" s="300"/>
      <c r="C31" s="300"/>
      <c r="D31" s="300"/>
      <c r="E31" s="300"/>
      <c r="F31" s="300"/>
      <c r="G31" s="300"/>
      <c r="H31" s="300"/>
      <c r="I31" s="343" t="s">
        <v>943</v>
      </c>
      <c r="J31" s="274"/>
      <c r="K31" s="274"/>
      <c r="L31" s="359">
        <f t="shared" si="0"/>
        <v>1</v>
      </c>
      <c r="M31" s="362">
        <f t="shared" si="1"/>
        <v>1900</v>
      </c>
      <c r="N31" s="300"/>
      <c r="O31" s="300"/>
      <c r="P31" s="300"/>
      <c r="Q31" s="300"/>
      <c r="R31" s="300"/>
      <c r="S31" s="300"/>
      <c r="T31" s="303"/>
      <c r="U31" s="303"/>
      <c r="V31" s="344" t="str">
        <f t="shared" si="2"/>
        <v/>
      </c>
      <c r="W31" s="339"/>
      <c r="X31" s="363">
        <f>IF(W31&gt;0,W31*0.0036*IF(OR(T31&gt;$J$31,U31&lt;$K$31), 0, IF(T31&lt;$J$31,U31-$J$31,IF($K$31&lt;U31,U31-$K$31,V31)))/V31,0)</f>
        <v>0</v>
      </c>
      <c r="Y31" s="346" t="e" cm="1">
        <f t="array" ref="Y31">IF('Pathway B benchmarks'!C61,INDEX('Pathway B benchmarks'!C61:C63,MATCH(1,($I$7='Pathway B benchmarks'!A61:A63)*($M$31='Pathway B benchmarks'!B61:B63),0),1))</f>
        <v>#N/A</v>
      </c>
      <c r="Z31" s="347" t="e">
        <f t="shared" si="4"/>
        <v>#N/A</v>
      </c>
      <c r="AA31" s="303"/>
      <c r="AB31" s="303"/>
      <c r="AC31" s="344" t="str">
        <f t="shared" si="5"/>
        <v/>
      </c>
      <c r="AD31" s="339"/>
      <c r="AE31" s="364">
        <f>IF(AD31&gt;0,AD31*0.001*IF(OR(AA31&gt;$J$31,AB31&lt;$K$31), 0, IF(AA31&lt;$J$31,AB31-$J$31,IF($K$31&lt;AB31,AB31-$K$31,AC31)))/AC31,0)</f>
        <v>0</v>
      </c>
      <c r="AF31" s="348" t="e" cm="1">
        <f t="array" ref="AF31">IF('Pathway B benchmarks'!F39,INDEX('Pathway B benchmarks'!F39:F56,MATCH(1,($AE$6='Pathway B benchmarks'!A39:A56)*($M$31='Pathway B benchmarks'!B39:B56),0),1))</f>
        <v>#N/A</v>
      </c>
      <c r="AG31" s="349">
        <f t="shared" si="6"/>
        <v>0</v>
      </c>
      <c r="AH31" s="303"/>
      <c r="AI31" s="303"/>
      <c r="AJ31" s="344" t="str">
        <f t="shared" si="7"/>
        <v/>
      </c>
      <c r="AK31" s="339"/>
      <c r="AL31" s="363">
        <f>IF(AK31&gt;0,AK31*26.2*IF(OR(AH31&gt;$J$31,AI31&lt;$K$31), 0, IF(AH31&lt;$J$31,AI31-$J$31,IF($K$31&lt;AI31,AI31-$K$31,AJ31)))/AJ31,0)</f>
        <v>0</v>
      </c>
      <c r="AM31" s="345" t="e" cm="1">
        <f t="array" ref="AM31">IF('Pathway B benchmarks'!F39,INDEX('Pathway B benchmarks'!F39:F56,MATCH(1,($AL$6='Pathway B benchmarks'!A39:A56)*($M$31='Pathway B benchmarks'!B39:B56),0),1))</f>
        <v>#N/A</v>
      </c>
      <c r="AN31" s="347">
        <f t="shared" si="9"/>
        <v>0</v>
      </c>
      <c r="AO31" s="303"/>
      <c r="AP31" s="303"/>
      <c r="AQ31" s="344" t="str">
        <f t="shared" si="10"/>
        <v/>
      </c>
      <c r="AR31" s="339"/>
      <c r="AS31" s="363">
        <f>IF(AR31&gt;0,AR31*38.6*IF(OR(AO31&gt;$J$31,AP31&lt;$K$31), 0, IF(AO31&lt;$J$31,AP31-$J$31,IF($K$31&lt;AP31,AP31-$K$31,AQ31)))/AQ31,0)</f>
        <v>0</v>
      </c>
      <c r="AT31" s="345" t="e" cm="1">
        <f t="array" ref="AT31">IF('Pathway B benchmarks'!F39,INDEX('Pathway B benchmarks'!F39:F56,MATCH(1,($AS$6='Pathway B benchmarks'!A39:A56)*($M$31='Pathway B benchmarks'!B39:B56),0),1))</f>
        <v>#N/A</v>
      </c>
      <c r="AU31" s="347">
        <f t="shared" si="12"/>
        <v>0</v>
      </c>
      <c r="AV31" s="347" t="e">
        <f>IF($I31="","",IF($I31="Custom",0,INDEX('Pathway B benchmarks'!$17:$18,MATCH($I31,'Pathway B benchmarks'!$A$17:$A$18,0),MATCH($S31,'Pathway B benchmarks'!$17:$17,0))))</f>
        <v>#N/A</v>
      </c>
      <c r="AW31" s="347" t="e">
        <f>IF($I31="","",IF($I31="Custom",0,INDEX('Pathway B benchmarks'!$30:$34,2,MATCH($S31,'Pathway B benchmarks'!$30:$30,0))))</f>
        <v>#N/A</v>
      </c>
      <c r="AX31" s="345" t="e">
        <f>IF($AW$31=0,1,$Q$31/$AW$31)*$AV$31</f>
        <v>#N/A</v>
      </c>
      <c r="AY31" s="353" t="e">
        <f>$AX$31/1000*$Y31/0.0036</f>
        <v>#N/A</v>
      </c>
      <c r="AZ31" s="353" t="e">
        <f>$AY$31/70*100</f>
        <v>#N/A</v>
      </c>
      <c r="BA31" s="353" t="e">
        <f t="shared" si="15"/>
        <v>#N/A</v>
      </c>
      <c r="BB31" s="350">
        <f t="shared" si="16"/>
        <v>0</v>
      </c>
      <c r="BC31" s="350" t="e">
        <f t="shared" si="17"/>
        <v>#N/A</v>
      </c>
      <c r="BD31" s="351">
        <f>IF(OR(E31="Whole Building", E31="Hotel", E31="School", E31="Data Centre (Whole facility)", E31="Residential Aged Care", E31="Retirement Living", E31="RAC and retirement (co-located)"),VLOOKUP(BB31,'Points Table'!$B$13:$C$36,2,TRUE),IF(OR(E31="Base Building", E31="Shopping Centre", E31="Apartment", E31="Warehouse and Cold Store", E31="Data Centre (Infrastructure)"),VLOOKUP(BB31,'Points Table'!$E$13:$F$33,2,TRUE),0))</f>
        <v>0</v>
      </c>
      <c r="BE31" s="352" t="str">
        <f>IF(AND($E$31="Whole Building", $BD$31&gt;=10), "YES", IF(AND($E$31="Base Building", $BD$31&gt;=8), "YES", "NO"))</f>
        <v>NO</v>
      </c>
    </row>
    <row r="32" spans="2:57">
      <c r="B32" s="300"/>
      <c r="C32" s="300"/>
      <c r="D32" s="300"/>
      <c r="E32" s="300"/>
      <c r="F32" s="300"/>
      <c r="G32" s="300"/>
      <c r="H32" s="300"/>
      <c r="I32" s="343" t="s">
        <v>943</v>
      </c>
      <c r="J32" s="274"/>
      <c r="K32" s="274"/>
      <c r="L32" s="359">
        <f t="shared" si="0"/>
        <v>1</v>
      </c>
      <c r="M32" s="362">
        <f t="shared" si="1"/>
        <v>1900</v>
      </c>
      <c r="N32" s="300"/>
      <c r="O32" s="300"/>
      <c r="P32" s="300"/>
      <c r="Q32" s="300"/>
      <c r="R32" s="300"/>
      <c r="S32" s="300"/>
      <c r="T32" s="303"/>
      <c r="U32" s="303"/>
      <c r="V32" s="344" t="str">
        <f t="shared" si="2"/>
        <v/>
      </c>
      <c r="W32" s="339"/>
      <c r="X32" s="363">
        <f>IF(W32&gt;0,W32*0.0036*IF(OR(T32&gt;$J$32,U32&lt;$K$32), 0, IF(T32&lt;$J$32,U32-$J$32,IF($K$32&lt;U32,U32-$K$32,V32)))/V32,0)</f>
        <v>0</v>
      </c>
      <c r="Y32" s="346" t="e" cm="1">
        <f t="array" ref="Y32">IF('Pathway B benchmarks'!C61,INDEX('Pathway B benchmarks'!C61:C63,MATCH(1,($I$7='Pathway B benchmarks'!A61:A63)*($M$32='Pathway B benchmarks'!B61:B63),0),1))</f>
        <v>#N/A</v>
      </c>
      <c r="Z32" s="347" t="e">
        <f t="shared" si="4"/>
        <v>#N/A</v>
      </c>
      <c r="AA32" s="303"/>
      <c r="AB32" s="303"/>
      <c r="AC32" s="344" t="str">
        <f t="shared" si="5"/>
        <v/>
      </c>
      <c r="AD32" s="339"/>
      <c r="AE32" s="364">
        <f>IF(AD32&gt;0,AD32*0.001*IF(OR(AA32&gt;$J$32,AB32&lt;$K$32), 0, IF(AA32&lt;$J$32,AB32-$J$32,IF($K$32&lt;AB32,AB32-$K$32,AC32)))/AC32,0)</f>
        <v>0</v>
      </c>
      <c r="AF32" s="348" t="e" cm="1">
        <f t="array" ref="AF32">IF('Pathway B benchmarks'!F39,INDEX('Pathway B benchmarks'!F39:F56,MATCH(1,($AE$6='Pathway B benchmarks'!A39:A56)*($M$32='Pathway B benchmarks'!B39:B56),0),1))</f>
        <v>#N/A</v>
      </c>
      <c r="AG32" s="349">
        <f t="shared" si="6"/>
        <v>0</v>
      </c>
      <c r="AH32" s="303"/>
      <c r="AI32" s="303"/>
      <c r="AJ32" s="344" t="str">
        <f t="shared" si="7"/>
        <v/>
      </c>
      <c r="AK32" s="339"/>
      <c r="AL32" s="363">
        <f>IF(AK32&gt;0,AK32*26.2*IF(OR(AH32&gt;$J$32,AI32&lt;$K$32), 0, IF(AH32&lt;$J$32,AI32-$J$32,IF($K$32&lt;AI32,AI32-$K$32,AJ32)))/AJ32,0)</f>
        <v>0</v>
      </c>
      <c r="AM32" s="345" t="e" cm="1">
        <f t="array" ref="AM32">IF('Pathway B benchmarks'!F39,INDEX('Pathway B benchmarks'!F39:F56,MATCH(1,($AL$6='Pathway B benchmarks'!A39:A56)*($M$32='Pathway B benchmarks'!B39:B56),0),1))</f>
        <v>#N/A</v>
      </c>
      <c r="AN32" s="347">
        <f t="shared" si="9"/>
        <v>0</v>
      </c>
      <c r="AO32" s="303"/>
      <c r="AP32" s="303"/>
      <c r="AQ32" s="344" t="str">
        <f t="shared" si="10"/>
        <v/>
      </c>
      <c r="AR32" s="339"/>
      <c r="AS32" s="363">
        <f>IF(AR32&gt;0,AR32*38.6*IF(OR(AO32&gt;$J$32,AP32&lt;$K$32), 0, IF(AO32&lt;$J$32,AP32-$J$32,IF($K$32&lt;AP32,AP32-$K$32,AQ32)))/AQ32,0)</f>
        <v>0</v>
      </c>
      <c r="AT32" s="345" t="e" cm="1">
        <f t="array" ref="AT32">IF('Pathway B benchmarks'!F39,INDEX('Pathway B benchmarks'!F39:F56,MATCH(1,($AS$6='Pathway B benchmarks'!A39:A56)*($M$32='Pathway B benchmarks'!B39:B56),0),1))</f>
        <v>#N/A</v>
      </c>
      <c r="AU32" s="347">
        <f t="shared" si="12"/>
        <v>0</v>
      </c>
      <c r="AV32" s="347" t="e">
        <f>IF($I32="","",IF($I32="Custom",0,INDEX('Pathway B benchmarks'!$17:$18,MATCH($I32,'Pathway B benchmarks'!$A$17:$A$18,0),MATCH($S32,'Pathway B benchmarks'!$17:$17,0))))</f>
        <v>#N/A</v>
      </c>
      <c r="AW32" s="347" t="e">
        <f>IF($I32="","",IF($I32="Custom",0,INDEX('Pathway B benchmarks'!$30:$34,2,MATCH($S32,'Pathway B benchmarks'!$30:$30,0))))</f>
        <v>#N/A</v>
      </c>
      <c r="AX32" s="345" t="e">
        <f>IF($AW$32=0,1,$Q$32/$AW$32)*$AV$32</f>
        <v>#N/A</v>
      </c>
      <c r="AY32" s="353" t="e">
        <f>$AX$32/1000*$Y32/0.0036</f>
        <v>#N/A</v>
      </c>
      <c r="AZ32" s="353" t="e">
        <f>$AY$32/70*100</f>
        <v>#N/A</v>
      </c>
      <c r="BA32" s="353" t="e">
        <f t="shared" si="15"/>
        <v>#N/A</v>
      </c>
      <c r="BB32" s="350">
        <f t="shared" si="16"/>
        <v>0</v>
      </c>
      <c r="BC32" s="350" t="e">
        <f t="shared" si="17"/>
        <v>#N/A</v>
      </c>
      <c r="BD32" s="351">
        <f>IF(OR(E32="Whole Building", E32="Hotel", E32="School", E32="Data Centre (Whole facility)", E32="Residential Aged Care", E32="Retirement Living", E32="RAC and retirement (co-located)"),VLOOKUP(BB32,'Points Table'!$B$13:$C$36,2,TRUE),IF(OR(E32="Base Building", E32="Shopping Centre", E32="Apartment", E32="Warehouse and Cold Store", E32="Data Centre (Infrastructure)"),VLOOKUP(BB32,'Points Table'!$E$13:$F$33,2,TRUE),0))</f>
        <v>0</v>
      </c>
      <c r="BE32" s="352" t="str">
        <f>IF(AND($E$32="Whole Building", $BD$32&gt;=10), "YES", IF(AND($E$32="Base Building", $BD$32&gt;=8), "YES", "NO"))</f>
        <v>NO</v>
      </c>
    </row>
    <row r="33" spans="2:57">
      <c r="B33" s="300"/>
      <c r="C33" s="300"/>
      <c r="D33" s="300"/>
      <c r="E33" s="300"/>
      <c r="F33" s="300"/>
      <c r="G33" s="300"/>
      <c r="H33" s="300"/>
      <c r="I33" s="343" t="s">
        <v>943</v>
      </c>
      <c r="J33" s="274"/>
      <c r="K33" s="274"/>
      <c r="L33" s="359">
        <f t="shared" si="0"/>
        <v>1</v>
      </c>
      <c r="M33" s="362">
        <f t="shared" si="1"/>
        <v>1900</v>
      </c>
      <c r="N33" s="300"/>
      <c r="O33" s="300"/>
      <c r="P33" s="300"/>
      <c r="Q33" s="300"/>
      <c r="R33" s="300"/>
      <c r="S33" s="300"/>
      <c r="T33" s="303"/>
      <c r="U33" s="303"/>
      <c r="V33" s="344" t="str">
        <f t="shared" si="2"/>
        <v/>
      </c>
      <c r="W33" s="339"/>
      <c r="X33" s="363">
        <f>IF(W33&gt;0,W33*0.0036*IF(OR(T33&gt;$J$33,U33&lt;$K$33), 0, IF(T33&lt;$J$33,U33-$J$33,IF($K$33&lt;U33,U33-$K$33,V33)))/V33,0)</f>
        <v>0</v>
      </c>
      <c r="Y33" s="346" t="e" cm="1">
        <f t="array" ref="Y33">IF('Pathway B benchmarks'!C61,INDEX('Pathway B benchmarks'!C61:C63,MATCH(1,($I$7='Pathway B benchmarks'!A61:A63)*($M$33='Pathway B benchmarks'!B61:B63),0),1))</f>
        <v>#N/A</v>
      </c>
      <c r="Z33" s="347" t="e">
        <f t="shared" si="4"/>
        <v>#N/A</v>
      </c>
      <c r="AA33" s="303"/>
      <c r="AB33" s="303"/>
      <c r="AC33" s="344" t="str">
        <f t="shared" si="5"/>
        <v/>
      </c>
      <c r="AD33" s="339"/>
      <c r="AE33" s="364">
        <f>IF(AD33&gt;0,AD33*0.001*IF(OR(AA33&gt;$J$33,AB33&lt;$K$33), 0, IF(AA33&lt;$J$33,AB33-$J$33,IF($K$33&lt;AB33,AB33-$K$33,AC33)))/AC33,0)</f>
        <v>0</v>
      </c>
      <c r="AF33" s="348" t="e" cm="1">
        <f t="array" ref="AF33">IF('Pathway B benchmarks'!F39,INDEX('Pathway B benchmarks'!F39:F56,MATCH(1,($AE$6='Pathway B benchmarks'!A39:A56)*($M$33='Pathway B benchmarks'!B39:B56),0),1))</f>
        <v>#N/A</v>
      </c>
      <c r="AG33" s="349">
        <f t="shared" si="6"/>
        <v>0</v>
      </c>
      <c r="AH33" s="303"/>
      <c r="AI33" s="303"/>
      <c r="AJ33" s="344" t="str">
        <f t="shared" si="7"/>
        <v/>
      </c>
      <c r="AK33" s="339"/>
      <c r="AL33" s="363">
        <f>IF(AK33&gt;0,AK33*26.2*IF(OR(AH33&gt;$J$33,AI33&lt;$K$33), 0, IF(AH33&lt;$J$33,AI33-$J$33,IF($K$33&lt;AI33,AI33-$K$33,AJ33)))/AJ33,0)</f>
        <v>0</v>
      </c>
      <c r="AM33" s="345" t="e" cm="1">
        <f t="array" ref="AM33">IF('Pathway B benchmarks'!F39,INDEX('Pathway B benchmarks'!F39:F56,MATCH(1,($AL$6='Pathway B benchmarks'!A39:A56)*($M$33='Pathway B benchmarks'!B39:B56),0),1))</f>
        <v>#N/A</v>
      </c>
      <c r="AN33" s="347">
        <f t="shared" si="9"/>
        <v>0</v>
      </c>
      <c r="AO33" s="303"/>
      <c r="AP33" s="303"/>
      <c r="AQ33" s="344" t="str">
        <f t="shared" si="10"/>
        <v/>
      </c>
      <c r="AR33" s="339"/>
      <c r="AS33" s="363">
        <f>IF(AR33&gt;0,AR33*38.6*IF(OR(AO33&gt;$J$33,AP33&lt;$K$33), 0, IF(AO33&lt;$J$33,AP33-$J$33,IF($K$33&lt;AP33,AP33-$K$33,AQ33)))/AQ33,0)</f>
        <v>0</v>
      </c>
      <c r="AT33" s="345" t="e" cm="1">
        <f t="array" ref="AT33">IF('Pathway B benchmarks'!F39,INDEX('Pathway B benchmarks'!F39:F56,MATCH(1,($AS$6='Pathway B benchmarks'!A39:A56)*($M$33='Pathway B benchmarks'!B39:B56),0),1))</f>
        <v>#N/A</v>
      </c>
      <c r="AU33" s="347">
        <f t="shared" si="12"/>
        <v>0</v>
      </c>
      <c r="AV33" s="347" t="e">
        <f>IF($I33="","",IF($I33="Custom",0,INDEX('Pathway B benchmarks'!$17:$18,MATCH($I33,'Pathway B benchmarks'!$A$17:$A$18,0),MATCH($S33,'Pathway B benchmarks'!$17:$17,0))))</f>
        <v>#N/A</v>
      </c>
      <c r="AW33" s="347" t="e">
        <f>IF($I33="","",IF($I33="Custom",0,INDEX('Pathway B benchmarks'!$30:$34,2,MATCH($S33,'Pathway B benchmarks'!$30:$30,0))))</f>
        <v>#N/A</v>
      </c>
      <c r="AX33" s="345" t="e">
        <f>IF($AW$33=0,1,$Q$33/$AW$33)*$AV$33</f>
        <v>#N/A</v>
      </c>
      <c r="AY33" s="353" t="e">
        <f>$AX$33/1000*$Y33/0.0036</f>
        <v>#N/A</v>
      </c>
      <c r="AZ33" s="353" t="e">
        <f>$AY$33/70*100</f>
        <v>#N/A</v>
      </c>
      <c r="BA33" s="353" t="e">
        <f t="shared" si="15"/>
        <v>#N/A</v>
      </c>
      <c r="BB33" s="350">
        <f t="shared" si="16"/>
        <v>0</v>
      </c>
      <c r="BC33" s="350" t="e">
        <f t="shared" si="17"/>
        <v>#N/A</v>
      </c>
      <c r="BD33" s="351">
        <f>IF(OR(E33="Whole Building", E33="Hotel", E33="School", E33="Data Centre (Whole facility)", E33="Residential Aged Care", E33="Retirement Living", E33="RAC and retirement (co-located)"),VLOOKUP(BB33,'Points Table'!$B$13:$C$36,2,TRUE),IF(OR(E33="Base Building", E33="Shopping Centre", E33="Apartment", E33="Warehouse and Cold Store", E33="Data Centre (Infrastructure)"),VLOOKUP(BB33,'Points Table'!$E$13:$F$33,2,TRUE),0))</f>
        <v>0</v>
      </c>
      <c r="BE33" s="352" t="str">
        <f>IF(AND($E$33="Whole Building", $BD$33&gt;=10), "YES", IF(AND($E$33="Base Building", $BD$33&gt;=8), "YES", "NO"))</f>
        <v>NO</v>
      </c>
    </row>
    <row r="34" spans="2:57">
      <c r="B34" s="300"/>
      <c r="C34" s="300"/>
      <c r="D34" s="300"/>
      <c r="E34" s="300"/>
      <c r="F34" s="300"/>
      <c r="G34" s="300"/>
      <c r="H34" s="300"/>
      <c r="I34" s="343" t="s">
        <v>943</v>
      </c>
      <c r="J34" s="274"/>
      <c r="K34" s="274"/>
      <c r="L34" s="359">
        <f t="shared" si="0"/>
        <v>1</v>
      </c>
      <c r="M34" s="362">
        <f t="shared" si="1"/>
        <v>1900</v>
      </c>
      <c r="N34" s="300"/>
      <c r="O34" s="300"/>
      <c r="P34" s="300"/>
      <c r="Q34" s="300"/>
      <c r="R34" s="300"/>
      <c r="S34" s="300"/>
      <c r="T34" s="303"/>
      <c r="U34" s="303"/>
      <c r="V34" s="344" t="str">
        <f t="shared" si="2"/>
        <v/>
      </c>
      <c r="W34" s="339"/>
      <c r="X34" s="363">
        <f>IF(W34&gt;0,W34*0.0036*IF(OR(T34&gt;$J$34,U34&lt;$K$34), 0, IF(T34&lt;$J$34,U34-$J$34,IF($K$34&lt;U34,U34-$K$34,V34)))/V34,0)</f>
        <v>0</v>
      </c>
      <c r="Y34" s="346" t="e" cm="1">
        <f t="array" ref="Y34">IF('Pathway B benchmarks'!C61,INDEX('Pathway B benchmarks'!C61:C63,MATCH(1,($I$7='Pathway B benchmarks'!A61:A63)*($M$34='Pathway B benchmarks'!B61:B63),0),1))</f>
        <v>#N/A</v>
      </c>
      <c r="Z34" s="347" t="e">
        <f t="shared" si="4"/>
        <v>#N/A</v>
      </c>
      <c r="AA34" s="303"/>
      <c r="AB34" s="303"/>
      <c r="AC34" s="344" t="str">
        <f t="shared" si="5"/>
        <v/>
      </c>
      <c r="AD34" s="339"/>
      <c r="AE34" s="364">
        <f>IF(AD34&gt;0,AD34*0.001*IF(OR(AA34&gt;$J$34,AB34&lt;$K$34), 0, IF(AA34&lt;$J$34,AB34-$J$34,IF($K$34&lt;AB34,AB34-$K$34,AC34)))/AC34,0)</f>
        <v>0</v>
      </c>
      <c r="AF34" s="348" t="e" cm="1">
        <f t="array" ref="AF34">IF('Pathway B benchmarks'!F39,INDEX('Pathway B benchmarks'!F39:F56,MATCH(1,($AE$6='Pathway B benchmarks'!A39:A56)*($M$34='Pathway B benchmarks'!B39:B56),0),1))</f>
        <v>#N/A</v>
      </c>
      <c r="AG34" s="349">
        <f t="shared" si="6"/>
        <v>0</v>
      </c>
      <c r="AH34" s="303"/>
      <c r="AI34" s="303"/>
      <c r="AJ34" s="344" t="str">
        <f t="shared" si="7"/>
        <v/>
      </c>
      <c r="AK34" s="339"/>
      <c r="AL34" s="363">
        <f>IF(AK34&gt;0,AK34*26.2*IF(OR(AH34&gt;$J$34,AI34&lt;$K$34), 0, IF(AH34&lt;$J$34,AI34-$J$34,IF($K$34&lt;AI34,AI34-$K$34,AJ34)))/AJ34,0)</f>
        <v>0</v>
      </c>
      <c r="AM34" s="345" t="e" cm="1">
        <f t="array" ref="AM34">IF('Pathway B benchmarks'!F39,INDEX('Pathway B benchmarks'!F39:F56,MATCH(1,($AL$6='Pathway B benchmarks'!A39:A56)*($M$34='Pathway B benchmarks'!B39:B56),0),1))</f>
        <v>#N/A</v>
      </c>
      <c r="AN34" s="347">
        <f t="shared" si="9"/>
        <v>0</v>
      </c>
      <c r="AO34" s="303"/>
      <c r="AP34" s="303"/>
      <c r="AQ34" s="344" t="str">
        <f t="shared" si="10"/>
        <v/>
      </c>
      <c r="AR34" s="339"/>
      <c r="AS34" s="363">
        <f>IF(AR34&gt;0,AR34*38.6*IF(OR(AO34&gt;$J$34,AP34&lt;$K$34), 0, IF(AO34&lt;$J$34,AP34-$J$34,IF($K$34&lt;AP34,AP34-$K$34,AQ34)))/AQ34,0)</f>
        <v>0</v>
      </c>
      <c r="AT34" s="345" t="e" cm="1">
        <f t="array" ref="AT34">IF('Pathway B benchmarks'!F39,INDEX('Pathway B benchmarks'!F39:F56,MATCH(1,($AS$6='Pathway B benchmarks'!A39:A56)*($M$34='Pathway B benchmarks'!B39:B56),0),1))</f>
        <v>#N/A</v>
      </c>
      <c r="AU34" s="347">
        <f t="shared" si="12"/>
        <v>0</v>
      </c>
      <c r="AV34" s="347" t="e">
        <f>IF($I34="","",IF($I34="Custom",0,INDEX('Pathway B benchmarks'!$17:$18,MATCH($I34,'Pathway B benchmarks'!$A$17:$A$18,0),MATCH($S34,'Pathway B benchmarks'!$17:$17,0))))</f>
        <v>#N/A</v>
      </c>
      <c r="AW34" s="347" t="e">
        <f>IF($I34="","",IF($I34="Custom",0,INDEX('Pathway B benchmarks'!$30:$34,2,MATCH($S34,'Pathway B benchmarks'!$30:$30,0))))</f>
        <v>#N/A</v>
      </c>
      <c r="AX34" s="345" t="e">
        <f>IF($AW$34=0,1,$Q$34/$AW$34)*$AV$34</f>
        <v>#N/A</v>
      </c>
      <c r="AY34" s="353" t="e">
        <f>$AX$34/1000*$Y34/0.0036</f>
        <v>#N/A</v>
      </c>
      <c r="AZ34" s="353" t="e">
        <f>$AY$34/70*100</f>
        <v>#N/A</v>
      </c>
      <c r="BA34" s="353" t="e">
        <f t="shared" si="15"/>
        <v>#N/A</v>
      </c>
      <c r="BB34" s="350">
        <f t="shared" si="16"/>
        <v>0</v>
      </c>
      <c r="BC34" s="350" t="e">
        <f t="shared" si="17"/>
        <v>#N/A</v>
      </c>
      <c r="BD34" s="351">
        <f>IF(OR(E34="Whole Building", E34="Hotel", E34="School", E34="Data Centre (Whole facility)", E34="Residential Aged Care", E34="Retirement Living", E34="RAC and retirement (co-located)"),VLOOKUP(BB34,'Points Table'!$B$13:$C$36,2,TRUE),IF(OR(E34="Base Building", E34="Shopping Centre", E34="Apartment", E34="Warehouse and Cold Store", E34="Data Centre (Infrastructure)"),VLOOKUP(BB34,'Points Table'!$E$13:$F$33,2,TRUE),0))</f>
        <v>0</v>
      </c>
      <c r="BE34" s="352" t="str">
        <f>IF(AND($E$34="Whole Building", $BD$34&gt;=10), "YES", IF(AND($E$34="Base Building", $BD$34&gt;=8), "YES", "NO"))</f>
        <v>NO</v>
      </c>
    </row>
    <row r="35" spans="2:57">
      <c r="B35" s="300"/>
      <c r="C35" s="300"/>
      <c r="D35" s="300"/>
      <c r="E35" s="300"/>
      <c r="F35" s="300"/>
      <c r="G35" s="300"/>
      <c r="H35" s="300"/>
      <c r="I35" s="343" t="s">
        <v>943</v>
      </c>
      <c r="J35" s="274"/>
      <c r="K35" s="274"/>
      <c r="L35" s="359">
        <f t="shared" si="0"/>
        <v>1</v>
      </c>
      <c r="M35" s="362">
        <f t="shared" si="1"/>
        <v>1900</v>
      </c>
      <c r="N35" s="300"/>
      <c r="O35" s="300"/>
      <c r="P35" s="300"/>
      <c r="Q35" s="300"/>
      <c r="R35" s="300"/>
      <c r="S35" s="300"/>
      <c r="T35" s="303"/>
      <c r="U35" s="303"/>
      <c r="V35" s="344" t="str">
        <f t="shared" si="2"/>
        <v/>
      </c>
      <c r="W35" s="339"/>
      <c r="X35" s="363">
        <f>IF(W35&gt;0,W35*0.0036*IF(OR(T35&gt;$J$35,U35&lt;$K$35), 0, IF(T35&lt;$J$35,U35-$J$35,IF($K$35&lt;U35,U35-$K$35,V35)))/V35,0)</f>
        <v>0</v>
      </c>
      <c r="Y35" s="346" t="e" cm="1">
        <f t="array" ref="Y35">IF('Pathway B benchmarks'!C61,INDEX('Pathway B benchmarks'!C61:C63,MATCH(1,($I$7='Pathway B benchmarks'!A61:A63)*($M$35='Pathway B benchmarks'!B61:B63),0),1))</f>
        <v>#N/A</v>
      </c>
      <c r="Z35" s="347" t="e">
        <f t="shared" si="4"/>
        <v>#N/A</v>
      </c>
      <c r="AA35" s="303"/>
      <c r="AB35" s="303"/>
      <c r="AC35" s="344" t="str">
        <f t="shared" si="5"/>
        <v/>
      </c>
      <c r="AD35" s="339"/>
      <c r="AE35" s="364">
        <f>IF(AD35&gt;0,AD35*0.001*IF(OR(AA35&gt;$J$35,AB35&lt;$K$35), 0, IF(AA35&lt;$J$35,AB35-$J$35,IF($K$35&lt;AB35,AB35-$K$35,AC35)))/AC35,0)</f>
        <v>0</v>
      </c>
      <c r="AF35" s="348" t="e" cm="1">
        <f t="array" ref="AF35">IF('Pathway B benchmarks'!F39,INDEX('Pathway B benchmarks'!F39:F56,MATCH(1,($AE$6='Pathway B benchmarks'!A39:A56)*($M$35='Pathway B benchmarks'!B39:B56),0),1))</f>
        <v>#N/A</v>
      </c>
      <c r="AG35" s="349">
        <f t="shared" si="6"/>
        <v>0</v>
      </c>
      <c r="AH35" s="303"/>
      <c r="AI35" s="303"/>
      <c r="AJ35" s="344" t="str">
        <f t="shared" si="7"/>
        <v/>
      </c>
      <c r="AK35" s="339"/>
      <c r="AL35" s="363">
        <f>IF(AK35&gt;0,AK35*26.2*IF(OR(AH35&gt;$J$35,AI35&lt;$K$35), 0, IF(AH35&lt;$J$35,AI35-$J$35,IF($K$35&lt;AI35,AI35-$K$35,AJ35)))/AJ35,0)</f>
        <v>0</v>
      </c>
      <c r="AM35" s="345" t="e" cm="1">
        <f t="array" ref="AM35">IF('Pathway B benchmarks'!F39,INDEX('Pathway B benchmarks'!F39:F56,MATCH(1,($AL$6='Pathway B benchmarks'!A39:A56)*($M$35='Pathway B benchmarks'!B39:B56),0),1))</f>
        <v>#N/A</v>
      </c>
      <c r="AN35" s="347">
        <f t="shared" si="9"/>
        <v>0</v>
      </c>
      <c r="AO35" s="303"/>
      <c r="AP35" s="303"/>
      <c r="AQ35" s="344" t="str">
        <f t="shared" si="10"/>
        <v/>
      </c>
      <c r="AR35" s="339"/>
      <c r="AS35" s="363">
        <f>IF(AR35&gt;0,AR35*38.6*IF(OR(AO35&gt;$J$35,AP35&lt;$K$35), 0, IF(AO35&lt;$J$35,AP35-$J$35,IF($K$35&lt;AP35,AP35-$K$35,AQ35)))/AQ35,0)</f>
        <v>0</v>
      </c>
      <c r="AT35" s="345" t="e" cm="1">
        <f t="array" ref="AT35">IF('Pathway B benchmarks'!F39,INDEX('Pathway B benchmarks'!F39:F56,MATCH(1,($AS$6='Pathway B benchmarks'!A39:A56)*($M$35='Pathway B benchmarks'!B39:B56),0),1))</f>
        <v>#N/A</v>
      </c>
      <c r="AU35" s="347">
        <f t="shared" si="12"/>
        <v>0</v>
      </c>
      <c r="AV35" s="347" t="e">
        <f>IF($I35="","",IF($I35="Custom",0,INDEX('Pathway B benchmarks'!$17:$18,MATCH($I35,'Pathway B benchmarks'!$A$17:$A$18,0),MATCH($S35,'Pathway B benchmarks'!$17:$17,0))))</f>
        <v>#N/A</v>
      </c>
      <c r="AW35" s="347" t="e">
        <f>IF($I35="","",IF($I35="Custom",0,INDEX('Pathway B benchmarks'!$30:$34,2,MATCH($S35,'Pathway B benchmarks'!$30:$30,0))))</f>
        <v>#N/A</v>
      </c>
      <c r="AX35" s="345" t="e">
        <f>IF($AW$35=0,1,$Q$35/$AW$35)*$AV$35</f>
        <v>#N/A</v>
      </c>
      <c r="AY35" s="353" t="e">
        <f>$AX$35/1000*$Y35/0.0036</f>
        <v>#N/A</v>
      </c>
      <c r="AZ35" s="353" t="e">
        <f>$AY$35/70*100</f>
        <v>#N/A</v>
      </c>
      <c r="BA35" s="353" t="e">
        <f t="shared" si="15"/>
        <v>#N/A</v>
      </c>
      <c r="BB35" s="350">
        <f t="shared" si="16"/>
        <v>0</v>
      </c>
      <c r="BC35" s="350" t="e">
        <f t="shared" si="17"/>
        <v>#N/A</v>
      </c>
      <c r="BD35" s="351">
        <f>IF(OR(E35="Whole Building", E35="Hotel", E35="School", E35="Data Centre (Whole facility)", E35="Residential Aged Care", E35="Retirement Living", E35="RAC and retirement (co-located)"),VLOOKUP(BB35,'Points Table'!$B$13:$C$36,2,TRUE),IF(OR(E35="Base Building", E35="Shopping Centre", E35="Apartment", E35="Warehouse and Cold Store", E35="Data Centre (Infrastructure)"),VLOOKUP(BB35,'Points Table'!$E$13:$F$33,2,TRUE),0))</f>
        <v>0</v>
      </c>
      <c r="BE35" s="352" t="str">
        <f>IF(AND($E$35="Whole Building", $BD$35&gt;=10), "YES", IF(AND($E$35="Base Building", $BD$35&gt;=8), "YES", "NO"))</f>
        <v>NO</v>
      </c>
    </row>
    <row r="36" spans="2:57">
      <c r="B36" s="300"/>
      <c r="C36" s="300"/>
      <c r="D36" s="300"/>
      <c r="E36" s="300"/>
      <c r="F36" s="300"/>
      <c r="G36" s="300"/>
      <c r="H36" s="300"/>
      <c r="I36" s="343" t="s">
        <v>943</v>
      </c>
      <c r="J36" s="274"/>
      <c r="K36" s="274"/>
      <c r="L36" s="359">
        <f t="shared" si="0"/>
        <v>1</v>
      </c>
      <c r="M36" s="362">
        <f t="shared" si="1"/>
        <v>1900</v>
      </c>
      <c r="N36" s="300"/>
      <c r="O36" s="300"/>
      <c r="P36" s="300"/>
      <c r="Q36" s="300"/>
      <c r="R36" s="300"/>
      <c r="S36" s="300"/>
      <c r="T36" s="303"/>
      <c r="U36" s="303"/>
      <c r="V36" s="344" t="str">
        <f t="shared" si="2"/>
        <v/>
      </c>
      <c r="W36" s="339"/>
      <c r="X36" s="363">
        <f>IF(W36&gt;0,W36*0.0036*IF(OR(T36&gt;$J$36,U36&lt;$K$36), 0, IF(T36&lt;$J$36,U36-$J$36,IF($K$36&lt;U36,U36-$K$36,V36)))/V36,0)</f>
        <v>0</v>
      </c>
      <c r="Y36" s="346" t="e" cm="1">
        <f t="array" ref="Y36">IF('Pathway B benchmarks'!C61,INDEX('Pathway B benchmarks'!C61:C63,MATCH(1,($I$7='Pathway B benchmarks'!A61:A63)*($M$36='Pathway B benchmarks'!B61:B63),0),1))</f>
        <v>#N/A</v>
      </c>
      <c r="Z36" s="347" t="e">
        <f t="shared" si="4"/>
        <v>#N/A</v>
      </c>
      <c r="AA36" s="303"/>
      <c r="AB36" s="303"/>
      <c r="AC36" s="344" t="str">
        <f t="shared" si="5"/>
        <v/>
      </c>
      <c r="AD36" s="339"/>
      <c r="AE36" s="364">
        <f>IF(AD36&gt;0,AD36*0.001*IF(OR(AA36&gt;$J$36,AB36&lt;$K$36), 0, IF(AA36&lt;$J$36,AB36-$J$36,IF($K$36&lt;AB36,AB36-$K$36,AC36)))/AC36,0)</f>
        <v>0</v>
      </c>
      <c r="AF36" s="348" t="e" cm="1">
        <f t="array" ref="AF36">IF('Pathway B benchmarks'!F39,INDEX('Pathway B benchmarks'!F39:F56,MATCH(1,($AE$6='Pathway B benchmarks'!A39:A56)*($M$36='Pathway B benchmarks'!B39:B56),0),1))</f>
        <v>#N/A</v>
      </c>
      <c r="AG36" s="349">
        <f t="shared" si="6"/>
        <v>0</v>
      </c>
      <c r="AH36" s="303"/>
      <c r="AI36" s="303"/>
      <c r="AJ36" s="344" t="str">
        <f t="shared" si="7"/>
        <v/>
      </c>
      <c r="AK36" s="339"/>
      <c r="AL36" s="363">
        <f>IF(AK36&gt;0,AK36*26.2*IF(OR(AH36&gt;$J$36,AI36&lt;$K$36), 0, IF(AH36&lt;$J$36,AI36-$J$36,IF($K$36&lt;AI36,AI36-$K$36,AJ36)))/AJ36,0)</f>
        <v>0</v>
      </c>
      <c r="AM36" s="345" t="e" cm="1">
        <f t="array" ref="AM36">IF('Pathway B benchmarks'!F39,INDEX('Pathway B benchmarks'!F39:F56,MATCH(1,($AL$6='Pathway B benchmarks'!A39:A56)*($M$36='Pathway B benchmarks'!B39:B56),0),1))</f>
        <v>#N/A</v>
      </c>
      <c r="AN36" s="347">
        <f t="shared" si="9"/>
        <v>0</v>
      </c>
      <c r="AO36" s="303"/>
      <c r="AP36" s="303"/>
      <c r="AQ36" s="344" t="str">
        <f t="shared" si="10"/>
        <v/>
      </c>
      <c r="AR36" s="339"/>
      <c r="AS36" s="363">
        <f>IF(AR36&gt;0,AR36*38.6*IF(OR(AO36&gt;$J$36,AP36&lt;$K$36), 0, IF(AO36&lt;$J$36,AP36-$J$36,IF($K$36&lt;AP36,AP36-$K$36,AQ36)))/AQ36,0)</f>
        <v>0</v>
      </c>
      <c r="AT36" s="345" t="e" cm="1">
        <f t="array" ref="AT36">IF('Pathway B benchmarks'!F39,INDEX('Pathway B benchmarks'!F39:F56,MATCH(1,($AS$6='Pathway B benchmarks'!A39:A56)*($M$36='Pathway B benchmarks'!B39:B56),0),1))</f>
        <v>#N/A</v>
      </c>
      <c r="AU36" s="347">
        <f t="shared" si="12"/>
        <v>0</v>
      </c>
      <c r="AV36" s="347" t="e">
        <f>IF($I36="","",IF($I36="Custom",0,INDEX('Pathway B benchmarks'!$17:$18,MATCH($I36,'Pathway B benchmarks'!$A$17:$A$18,0),MATCH($S36,'Pathway B benchmarks'!$17:$17,0))))</f>
        <v>#N/A</v>
      </c>
      <c r="AW36" s="347" t="e">
        <f>IF($I36="","",IF($I36="Custom",0,INDEX('Pathway B benchmarks'!$30:$34,2,MATCH($S36,'Pathway B benchmarks'!$30:$30,0))))</f>
        <v>#N/A</v>
      </c>
      <c r="AX36" s="345" t="e">
        <f>IF($AW$36=0,1,$Q$36/$AW$36)*$AV$36</f>
        <v>#N/A</v>
      </c>
      <c r="AY36" s="353" t="e">
        <f>$AX$36/1000*$Y36/0.0036</f>
        <v>#N/A</v>
      </c>
      <c r="AZ36" s="353" t="e">
        <f>$AY$36/70*100</f>
        <v>#N/A</v>
      </c>
      <c r="BA36" s="353" t="e">
        <f t="shared" si="15"/>
        <v>#N/A</v>
      </c>
      <c r="BB36" s="350">
        <f t="shared" si="16"/>
        <v>0</v>
      </c>
      <c r="BC36" s="350" t="e">
        <f t="shared" si="17"/>
        <v>#N/A</v>
      </c>
      <c r="BD36" s="351">
        <f>IF(OR(E36="Whole Building", E36="Hotel", E36="School", E36="Data Centre (Whole facility)", E36="Residential Aged Care", E36="Retirement Living", E36="RAC and retirement (co-located)"),VLOOKUP(BB36,'Points Table'!$B$13:$C$36,2,TRUE),IF(OR(E36="Base Building", E36="Shopping Centre", E36="Apartment", E36="Warehouse and Cold Store", E36="Data Centre (Infrastructure)"),VLOOKUP(BB36,'Points Table'!$E$13:$F$33,2,TRUE),0))</f>
        <v>0</v>
      </c>
      <c r="BE36" s="352" t="str">
        <f>IF(AND($E$36="Whole Building", $BD$36&gt;=10), "YES", IF(AND($E$36="Base Building", $BD$36&gt;=8), "YES", "NO"))</f>
        <v>NO</v>
      </c>
    </row>
    <row r="37" spans="2:57">
      <c r="B37" s="300"/>
      <c r="C37" s="300"/>
      <c r="D37" s="300"/>
      <c r="E37" s="300"/>
      <c r="F37" s="300"/>
      <c r="G37" s="300"/>
      <c r="H37" s="300"/>
      <c r="I37" s="343" t="s">
        <v>943</v>
      </c>
      <c r="J37" s="274"/>
      <c r="K37" s="274"/>
      <c r="L37" s="359">
        <f t="shared" si="0"/>
        <v>1</v>
      </c>
      <c r="M37" s="362">
        <f t="shared" si="1"/>
        <v>1900</v>
      </c>
      <c r="N37" s="300"/>
      <c r="O37" s="300"/>
      <c r="P37" s="300"/>
      <c r="Q37" s="300"/>
      <c r="R37" s="300"/>
      <c r="S37" s="300"/>
      <c r="T37" s="303"/>
      <c r="U37" s="303"/>
      <c r="V37" s="344" t="str">
        <f t="shared" si="2"/>
        <v/>
      </c>
      <c r="W37" s="339"/>
      <c r="X37" s="363">
        <f>IF(W37&gt;0,W37*0.0036*IF(OR(T37&gt;$J$37,U37&lt;$K$37), 0, IF(T37&lt;$J$37,U37-$J$37,IF($K$37&lt;U37,U37-$K$37,V37)))/V37,0)</f>
        <v>0</v>
      </c>
      <c r="Y37" s="346" t="e" cm="1">
        <f t="array" ref="Y37">IF('Pathway B benchmarks'!C61,INDEX('Pathway B benchmarks'!C61:C63,MATCH(1,($I$7='Pathway B benchmarks'!A61:A63)*($M$37='Pathway B benchmarks'!B61:B63),0),1))</f>
        <v>#N/A</v>
      </c>
      <c r="Z37" s="347" t="e">
        <f t="shared" si="4"/>
        <v>#N/A</v>
      </c>
      <c r="AA37" s="303"/>
      <c r="AB37" s="303"/>
      <c r="AC37" s="344" t="str">
        <f t="shared" si="5"/>
        <v/>
      </c>
      <c r="AD37" s="339"/>
      <c r="AE37" s="364">
        <f>IF(AD37&gt;0,AD37*0.001*IF(OR(AA37&gt;$J$37,AB37&lt;$K$37), 0, IF(AA37&lt;$J$37,AB37-$J$37,IF($K$37&lt;AB37,AB37-$K$37,AC37)))/AC37,0)</f>
        <v>0</v>
      </c>
      <c r="AF37" s="348" t="e" cm="1">
        <f t="array" ref="AF37">IF('Pathway B benchmarks'!F39,INDEX('Pathway B benchmarks'!F39:F56,MATCH(1,($AE$6='Pathway B benchmarks'!A39:A56)*($M$37='Pathway B benchmarks'!B39:B56),0),1))</f>
        <v>#N/A</v>
      </c>
      <c r="AG37" s="349">
        <f t="shared" si="6"/>
        <v>0</v>
      </c>
      <c r="AH37" s="303"/>
      <c r="AI37" s="303"/>
      <c r="AJ37" s="344" t="str">
        <f t="shared" si="7"/>
        <v/>
      </c>
      <c r="AK37" s="339"/>
      <c r="AL37" s="363">
        <f>IF(AK37&gt;0,AK37*26.2*IF(OR(AH37&gt;$J$37,AI37&lt;$K$37), 0, IF(AH37&lt;$J$37,AI37-$J$37,IF($K$37&lt;AI37,AI37-$K$37,AJ37)))/AJ37,0)</f>
        <v>0</v>
      </c>
      <c r="AM37" s="345" t="e" cm="1">
        <f t="array" ref="AM37">IF('Pathway B benchmarks'!F39,INDEX('Pathway B benchmarks'!F39:F56,MATCH(1,($AL$6='Pathway B benchmarks'!A39:A56)*($M$37='Pathway B benchmarks'!B39:B56),0),1))</f>
        <v>#N/A</v>
      </c>
      <c r="AN37" s="347">
        <f t="shared" si="9"/>
        <v>0</v>
      </c>
      <c r="AO37" s="303"/>
      <c r="AP37" s="303"/>
      <c r="AQ37" s="344" t="str">
        <f t="shared" si="10"/>
        <v/>
      </c>
      <c r="AR37" s="339"/>
      <c r="AS37" s="363">
        <f>IF(AR37&gt;0,AR37*38.6*IF(OR(AO37&gt;$J$37,AP37&lt;$K$37), 0, IF(AO37&lt;$J$37,AP37-$J$37,IF($K$37&lt;AP37,AP37-$K$37,AQ37)))/AQ37,0)</f>
        <v>0</v>
      </c>
      <c r="AT37" s="345" t="e" cm="1">
        <f t="array" ref="AT37">IF('Pathway B benchmarks'!F39,INDEX('Pathway B benchmarks'!F39:F56,MATCH(1,($AS$6='Pathway B benchmarks'!A39:A56)*($M$37='Pathway B benchmarks'!B39:B56),0),1))</f>
        <v>#N/A</v>
      </c>
      <c r="AU37" s="347">
        <f t="shared" si="12"/>
        <v>0</v>
      </c>
      <c r="AV37" s="347" t="e">
        <f>IF($I37="","",IF($I37="Custom",0,INDEX('Pathway B benchmarks'!$17:$18,MATCH($I37,'Pathway B benchmarks'!$A$17:$A$18,0),MATCH($S37,'Pathway B benchmarks'!$17:$17,0))))</f>
        <v>#N/A</v>
      </c>
      <c r="AW37" s="347" t="e">
        <f>IF($I37="","",IF($I37="Custom",0,INDEX('Pathway B benchmarks'!$30:$34,2,MATCH($S37,'Pathway B benchmarks'!$30:$30,0))))</f>
        <v>#N/A</v>
      </c>
      <c r="AX37" s="345" t="e">
        <f>IF($AW$37=0,1,$Q$37/$AW$37)*$AV$37</f>
        <v>#N/A</v>
      </c>
      <c r="AY37" s="353" t="e">
        <f>$AX$37/1000*$Y37/0.0036</f>
        <v>#N/A</v>
      </c>
      <c r="AZ37" s="353" t="e">
        <f>$AY$37/70*100</f>
        <v>#N/A</v>
      </c>
      <c r="BA37" s="353" t="e">
        <f t="shared" si="15"/>
        <v>#N/A</v>
      </c>
      <c r="BB37" s="350">
        <f t="shared" si="16"/>
        <v>0</v>
      </c>
      <c r="BC37" s="350" t="e">
        <f t="shared" si="17"/>
        <v>#N/A</v>
      </c>
      <c r="BD37" s="351">
        <f>IF(OR(E37="Whole Building", E37="Hotel", E37="School", E37="Data Centre (Whole facility)", E37="Residential Aged Care", E37="Retirement Living", E37="RAC and retirement (co-located)"),VLOOKUP(BB37,'Points Table'!$B$13:$C$36,2,TRUE),IF(OR(E37="Base Building", E37="Shopping Centre", E37="Apartment", E37="Warehouse and Cold Store", E37="Data Centre (Infrastructure)"),VLOOKUP(BB37,'Points Table'!$E$13:$F$33,2,TRUE),0))</f>
        <v>0</v>
      </c>
      <c r="BE37" s="352" t="str">
        <f>IF(AND($E$37="Whole Building", $BD$37&gt;=10), "YES", IF(AND($E$37="Base Building", $BD$37&gt;=8), "YES", "NO"))</f>
        <v>NO</v>
      </c>
    </row>
    <row r="38" spans="2:57">
      <c r="B38" s="300"/>
      <c r="C38" s="300"/>
      <c r="D38" s="300"/>
      <c r="E38" s="300"/>
      <c r="F38" s="300"/>
      <c r="G38" s="300"/>
      <c r="H38" s="300"/>
      <c r="I38" s="343" t="s">
        <v>943</v>
      </c>
      <c r="J38" s="274"/>
      <c r="K38" s="274"/>
      <c r="L38" s="359">
        <f t="shared" si="0"/>
        <v>1</v>
      </c>
      <c r="M38" s="362">
        <f t="shared" si="1"/>
        <v>1900</v>
      </c>
      <c r="N38" s="300"/>
      <c r="O38" s="300"/>
      <c r="P38" s="300"/>
      <c r="Q38" s="300"/>
      <c r="R38" s="300"/>
      <c r="S38" s="300"/>
      <c r="T38" s="303"/>
      <c r="U38" s="303"/>
      <c r="V38" s="344" t="str">
        <f t="shared" si="2"/>
        <v/>
      </c>
      <c r="W38" s="339"/>
      <c r="X38" s="363">
        <f>IF(W38&gt;0,W38*0.0036*IF(OR(T38&gt;$J$38,U38&lt;$K$38), 0, IF(T38&lt;$J$38,U38-$J$38,IF($K$38&lt;U38,U38-$K$38,V38)))/V38,0)</f>
        <v>0</v>
      </c>
      <c r="Y38" s="346" t="e" cm="1">
        <f t="array" ref="Y38">IF('Pathway B benchmarks'!C61,INDEX('Pathway B benchmarks'!C61:C63,MATCH(1,($I$7='Pathway B benchmarks'!A61:A63)*($M$38='Pathway B benchmarks'!B61:B63),0),1))</f>
        <v>#N/A</v>
      </c>
      <c r="Z38" s="347" t="e">
        <f t="shared" si="4"/>
        <v>#N/A</v>
      </c>
      <c r="AA38" s="303"/>
      <c r="AB38" s="303"/>
      <c r="AC38" s="344" t="str">
        <f t="shared" si="5"/>
        <v/>
      </c>
      <c r="AD38" s="339"/>
      <c r="AE38" s="364">
        <f>IF(AD38&gt;0,AD38*0.001*IF(OR(AA38&gt;$J$38,AB38&lt;$K$38), 0, IF(AA38&lt;$J$38,AB38-$J$38,IF($K$38&lt;AB38,AB38-$K$38,AC38)))/AC38,0)</f>
        <v>0</v>
      </c>
      <c r="AF38" s="348" t="e" cm="1">
        <f t="array" ref="AF38">IF('Pathway B benchmarks'!F39,INDEX('Pathway B benchmarks'!F39:F56,MATCH(1,($AE$6='Pathway B benchmarks'!A39:A56)*($M$38='Pathway B benchmarks'!B39:B56),0),1))</f>
        <v>#N/A</v>
      </c>
      <c r="AG38" s="349">
        <f t="shared" si="6"/>
        <v>0</v>
      </c>
      <c r="AH38" s="303"/>
      <c r="AI38" s="303"/>
      <c r="AJ38" s="344" t="str">
        <f t="shared" si="7"/>
        <v/>
      </c>
      <c r="AK38" s="339"/>
      <c r="AL38" s="363">
        <f>IF(AK38&gt;0,AK38*26.2*IF(OR(AH38&gt;$J$38,AI38&lt;$K$38), 0, IF(AH38&lt;$J$38,AI38-$J$38,IF($K$38&lt;AI38,AI38-$K$38,AJ38)))/AJ38,0)</f>
        <v>0</v>
      </c>
      <c r="AM38" s="345" t="e" cm="1">
        <f t="array" ref="AM38">IF('Pathway B benchmarks'!F39,INDEX('Pathway B benchmarks'!F39:F56,MATCH(1,($AL$6='Pathway B benchmarks'!A39:A56)*($M$38='Pathway B benchmarks'!B39:B56),0),1))</f>
        <v>#N/A</v>
      </c>
      <c r="AN38" s="347">
        <f t="shared" si="9"/>
        <v>0</v>
      </c>
      <c r="AO38" s="303"/>
      <c r="AP38" s="303"/>
      <c r="AQ38" s="344" t="str">
        <f t="shared" si="10"/>
        <v/>
      </c>
      <c r="AR38" s="339"/>
      <c r="AS38" s="363">
        <f>IF(AR38&gt;0,AR38*38.6*IF(OR(AO38&gt;$J$38,AP38&lt;$K$38), 0, IF(AO38&lt;$J$38,AP38-$J$38,IF($K$38&lt;AP38,AP38-$K$38,AQ38)))/AQ38,0)</f>
        <v>0</v>
      </c>
      <c r="AT38" s="345" t="e" cm="1">
        <f t="array" ref="AT38">IF('Pathway B benchmarks'!F39,INDEX('Pathway B benchmarks'!F39:F56,MATCH(1,($AS$6='Pathway B benchmarks'!A39:A56)*($M$38='Pathway B benchmarks'!B39:B56),0),1))</f>
        <v>#N/A</v>
      </c>
      <c r="AU38" s="347">
        <f t="shared" si="12"/>
        <v>0</v>
      </c>
      <c r="AV38" s="347" t="e">
        <f>IF($I38="","",IF($I38="Custom",0,INDEX('Pathway B benchmarks'!$17:$18,MATCH($I38,'Pathway B benchmarks'!$A$17:$A$18,0),MATCH($S38,'Pathway B benchmarks'!$17:$17,0))))</f>
        <v>#N/A</v>
      </c>
      <c r="AW38" s="347" t="e">
        <f>IF($I38="","",IF($I38="Custom",0,INDEX('Pathway B benchmarks'!$30:$34,2,MATCH($S38,'Pathway B benchmarks'!$30:$30,0))))</f>
        <v>#N/A</v>
      </c>
      <c r="AX38" s="345" t="e">
        <f>IF($AW$38=0,1,$Q$38/$AW$38)*$AV$38</f>
        <v>#N/A</v>
      </c>
      <c r="AY38" s="353" t="e">
        <f>$AX$38/1000*$Y38/0.0036</f>
        <v>#N/A</v>
      </c>
      <c r="AZ38" s="353" t="e">
        <f>$AY$38/70*100</f>
        <v>#N/A</v>
      </c>
      <c r="BA38" s="353" t="e">
        <f t="shared" si="15"/>
        <v>#N/A</v>
      </c>
      <c r="BB38" s="350">
        <f t="shared" si="16"/>
        <v>0</v>
      </c>
      <c r="BC38" s="350" t="e">
        <f t="shared" si="17"/>
        <v>#N/A</v>
      </c>
      <c r="BD38" s="351">
        <f>IF(OR(E38="Whole Building", E38="Hotel", E38="School", E38="Data Centre (Whole facility)", E38="Residential Aged Care", E38="Retirement Living", E38="RAC and retirement (co-located)"),VLOOKUP(BB38,'Points Table'!$B$13:$C$36,2,TRUE),IF(OR(E38="Base Building", E38="Shopping Centre", E38="Apartment", E38="Warehouse and Cold Store", E38="Data Centre (Infrastructure)"),VLOOKUP(BB38,'Points Table'!$E$13:$F$33,2,TRUE),0))</f>
        <v>0</v>
      </c>
      <c r="BE38" s="352" t="str">
        <f>IF(AND($E$38="Whole Building", $BD$38&gt;=10), "YES", IF(AND($E$38="Base Building", $BD$38&gt;=8), "YES", "NO"))</f>
        <v>NO</v>
      </c>
    </row>
    <row r="39" spans="2:57">
      <c r="B39" s="300"/>
      <c r="C39" s="300"/>
      <c r="D39" s="300"/>
      <c r="E39" s="300"/>
      <c r="F39" s="300"/>
      <c r="G39" s="300"/>
      <c r="H39" s="300"/>
      <c r="I39" s="343" t="s">
        <v>943</v>
      </c>
      <c r="J39" s="274"/>
      <c r="K39" s="274"/>
      <c r="L39" s="359">
        <f t="shared" ref="L39:L70" si="18">K39-J39+1</f>
        <v>1</v>
      </c>
      <c r="M39" s="362">
        <f t="shared" ref="M39:M70" si="19">YEAR(K39)</f>
        <v>1900</v>
      </c>
      <c r="N39" s="300"/>
      <c r="O39" s="300"/>
      <c r="P39" s="300"/>
      <c r="Q39" s="300"/>
      <c r="R39" s="300"/>
      <c r="S39" s="300"/>
      <c r="T39" s="303"/>
      <c r="U39" s="303"/>
      <c r="V39" s="344" t="str">
        <f t="shared" ref="V39:V70" si="20">IF(ISBLANK(U39),"",U39-T39+1)</f>
        <v/>
      </c>
      <c r="W39" s="339"/>
      <c r="X39" s="363">
        <f>IF(W39&gt;0,W39*0.0036*IF(OR(T39&gt;$J$39,U39&lt;$K$39), 0, IF(T39&lt;$J$39,U39-$J$39,IF($K$39&lt;U39,U39-$K$39,V39)))/V39,0)</f>
        <v>0</v>
      </c>
      <c r="Y39" s="346" t="e" cm="1">
        <f t="array" ref="Y39">IF('Pathway B benchmarks'!C61,INDEX('Pathway B benchmarks'!C61:C63,MATCH(1,($I$7='Pathway B benchmarks'!A61:A63)*($M$39='Pathway B benchmarks'!B61:B63),0),1))</f>
        <v>#N/A</v>
      </c>
      <c r="Z39" s="347" t="e">
        <f t="shared" si="4"/>
        <v>#N/A</v>
      </c>
      <c r="AA39" s="303"/>
      <c r="AB39" s="303"/>
      <c r="AC39" s="344" t="str">
        <f t="shared" si="5"/>
        <v/>
      </c>
      <c r="AD39" s="339"/>
      <c r="AE39" s="364">
        <f>IF(AD39&gt;0,AD39*0.001*IF(OR(AA39&gt;$J$39,AB39&lt;$K$39), 0, IF(AA39&lt;$J$39,AB39-$J$39,IF($K$39&lt;AB39,AB39-$K$39,AC39)))/AC39,0)</f>
        <v>0</v>
      </c>
      <c r="AF39" s="348" t="e" cm="1">
        <f t="array" ref="AF39">IF('Pathway B benchmarks'!F39,INDEX('Pathway B benchmarks'!F39:F56,MATCH(1,($AE$6='Pathway B benchmarks'!A39:A56)*($M$39='Pathway B benchmarks'!B39:B56),0),1))</f>
        <v>#N/A</v>
      </c>
      <c r="AG39" s="349">
        <f t="shared" si="6"/>
        <v>0</v>
      </c>
      <c r="AH39" s="303"/>
      <c r="AI39" s="303"/>
      <c r="AJ39" s="344" t="str">
        <f t="shared" si="7"/>
        <v/>
      </c>
      <c r="AK39" s="339"/>
      <c r="AL39" s="363">
        <f>IF(AK39&gt;0,AK39*26.2*IF(OR(AH39&gt;$J$39,AI39&lt;$K$39), 0, IF(AH39&lt;$J$39,AI39-$J$39,IF($K$39&lt;AI39,AI39-$K$39,AJ39)))/AJ39,0)</f>
        <v>0</v>
      </c>
      <c r="AM39" s="345" t="e" cm="1">
        <f t="array" ref="AM39">IF('Pathway B benchmarks'!F39,INDEX('Pathway B benchmarks'!F39:F56,MATCH(1,($AL$6='Pathway B benchmarks'!A39:A56)*($M$39='Pathway B benchmarks'!B39:B56),0),1))</f>
        <v>#N/A</v>
      </c>
      <c r="AN39" s="347">
        <f t="shared" ref="AN39:AN70" si="21">IFERROR($AL39*$AM39,0)</f>
        <v>0</v>
      </c>
      <c r="AO39" s="303"/>
      <c r="AP39" s="303"/>
      <c r="AQ39" s="344" t="str">
        <f t="shared" ref="AQ39:AQ70" si="22">IF(ISBLANK(AP39),"",AP39-AO39+1)</f>
        <v/>
      </c>
      <c r="AR39" s="339"/>
      <c r="AS39" s="363">
        <f>IF(AR39&gt;0,AR39*38.6*IF(OR(AO39&gt;$J$39,AP39&lt;$K$39), 0, IF(AO39&lt;$J$39,AP39-$J$39,IF($K$39&lt;AP39,AP39-$K$39,AQ39)))/AQ39,0)</f>
        <v>0</v>
      </c>
      <c r="AT39" s="345" t="e" cm="1">
        <f t="array" ref="AT39">IF('Pathway B benchmarks'!F39,INDEX('Pathway B benchmarks'!F39:F56,MATCH(1,($AS$6='Pathway B benchmarks'!A39:A56)*($M$39='Pathway B benchmarks'!B39:B56),0),1))</f>
        <v>#N/A</v>
      </c>
      <c r="AU39" s="347">
        <f t="shared" ref="AU39:AU70" si="23">IFERROR($AS39*$AT39,0)</f>
        <v>0</v>
      </c>
      <c r="AV39" s="347" t="e">
        <f>IF($I39="","",IF($I39="Custom",0,INDEX('Pathway B benchmarks'!$17:$18,MATCH($I39,'Pathway B benchmarks'!$A$17:$A$18,0),MATCH($S39,'Pathway B benchmarks'!$17:$17,0))))</f>
        <v>#N/A</v>
      </c>
      <c r="AW39" s="347" t="e">
        <f>IF($I39="","",IF($I39="Custom",0,INDEX('Pathway B benchmarks'!$30:$34,2,MATCH($S39,'Pathway B benchmarks'!$30:$30,0))))</f>
        <v>#N/A</v>
      </c>
      <c r="AX39" s="345" t="e">
        <f>IF($AW$39=0,1,$Q$39/$AW$39)*$AV$39</f>
        <v>#N/A</v>
      </c>
      <c r="AY39" s="353" t="e">
        <f>$AX$39/1000*$Y39/0.0036</f>
        <v>#N/A</v>
      </c>
      <c r="AZ39" s="353" t="e">
        <f>$AY$39/70*100</f>
        <v>#N/A</v>
      </c>
      <c r="BA39" s="353" t="e">
        <f t="shared" ref="BA39:BA70" si="24">(Z39+AG39+AN39+AU39)/P39</f>
        <v>#N/A</v>
      </c>
      <c r="BB39" s="350">
        <f t="shared" ref="BB39:BB70" si="25">MAX(0,IFERROR(1-(BA39/(AY39/70)/100),0))</f>
        <v>0</v>
      </c>
      <c r="BC39" s="350" t="e">
        <f t="shared" ref="BC39:BC70" si="26">(1-BA39/AY39)</f>
        <v>#N/A</v>
      </c>
      <c r="BD39" s="351">
        <f>IF(OR(E39="Whole Building", E39="Hotel", E39="School", E39="Data Centre (Whole facility)", E39="Residential Aged Care", E39="Retirement Living", E39="RAC and retirement (co-located)"),VLOOKUP(BB39,'Points Table'!$B$13:$C$36,2,TRUE),IF(OR(E39="Base Building", E39="Shopping Centre", E39="Apartment", E39="Warehouse and Cold Store", E39="Data Centre (Infrastructure)"),VLOOKUP(BB39,'Points Table'!$E$13:$F$33,2,TRUE),0))</f>
        <v>0</v>
      </c>
      <c r="BE39" s="352" t="str">
        <f>IF(AND($E$39="Whole Building", $BD$39&gt;=10), "YES", IF(AND($E$39="Base Building", $BD$39&gt;=8), "YES", "NO"))</f>
        <v>NO</v>
      </c>
    </row>
    <row r="40" spans="2:57">
      <c r="B40" s="300"/>
      <c r="C40" s="300"/>
      <c r="D40" s="300"/>
      <c r="E40" s="300"/>
      <c r="F40" s="300"/>
      <c r="G40" s="300"/>
      <c r="H40" s="300"/>
      <c r="I40" s="343" t="s">
        <v>943</v>
      </c>
      <c r="J40" s="274"/>
      <c r="K40" s="274"/>
      <c r="L40" s="359">
        <f t="shared" si="18"/>
        <v>1</v>
      </c>
      <c r="M40" s="362">
        <f t="shared" si="19"/>
        <v>1900</v>
      </c>
      <c r="N40" s="300"/>
      <c r="O40" s="300"/>
      <c r="P40" s="300"/>
      <c r="Q40" s="300"/>
      <c r="R40" s="300"/>
      <c r="S40" s="300"/>
      <c r="T40" s="303"/>
      <c r="U40" s="303"/>
      <c r="V40" s="344" t="str">
        <f t="shared" si="20"/>
        <v/>
      </c>
      <c r="W40" s="339"/>
      <c r="X40" s="363">
        <f>IF(W40&gt;0,W40*0.0036*IF(OR(T40&gt;$J$40,U40&lt;$K$40), 0, IF(T40&lt;$J$40,U40-$J$40,IF($K$40&lt;U40,U40-$K$40,V40)))/V40,0)</f>
        <v>0</v>
      </c>
      <c r="Y40" s="346" t="e" cm="1">
        <f t="array" ref="Y40">IF('Pathway B benchmarks'!C61,INDEX('Pathway B benchmarks'!C61:C63,MATCH(1,($I$7='Pathway B benchmarks'!A61:A63)*($M$40='Pathway B benchmarks'!B61:B63),0),1))</f>
        <v>#N/A</v>
      </c>
      <c r="Z40" s="347" t="e">
        <f t="shared" si="4"/>
        <v>#N/A</v>
      </c>
      <c r="AA40" s="303"/>
      <c r="AB40" s="303"/>
      <c r="AC40" s="344" t="str">
        <f t="shared" si="5"/>
        <v/>
      </c>
      <c r="AD40" s="339"/>
      <c r="AE40" s="364">
        <f>IF(AD40&gt;0,AD40*0.001*IF(OR(AA40&gt;$J$40,AB40&lt;$K$40), 0, IF(AA40&lt;$J$40,AB40-$J$40,IF($K$40&lt;AB40,AB40-$K$40,AC40)))/AC40,0)</f>
        <v>0</v>
      </c>
      <c r="AF40" s="348" t="e" cm="1">
        <f t="array" ref="AF40">IF('Pathway B benchmarks'!F39,INDEX('Pathway B benchmarks'!F39:F56,MATCH(1,($AE$6='Pathway B benchmarks'!A39:A56)*($M$40='Pathway B benchmarks'!B39:B56),0),1))</f>
        <v>#N/A</v>
      </c>
      <c r="AG40" s="349">
        <f t="shared" si="6"/>
        <v>0</v>
      </c>
      <c r="AH40" s="303"/>
      <c r="AI40" s="303"/>
      <c r="AJ40" s="344" t="str">
        <f t="shared" si="7"/>
        <v/>
      </c>
      <c r="AK40" s="339"/>
      <c r="AL40" s="363">
        <f>IF(AK40&gt;0,AK40*26.2*IF(OR(AH40&gt;$J$40,AI40&lt;$K$40), 0, IF(AH40&lt;$J$40,AI40-$J$39,IF($K$40&lt;AI40,AI40-$K$40,AJ40)))/AJ40,0)</f>
        <v>0</v>
      </c>
      <c r="AM40" s="345" t="e" cm="1">
        <f t="array" ref="AM40">IF('Pathway B benchmarks'!F39,INDEX('Pathway B benchmarks'!F39:F56,MATCH(1,($AL$6='Pathway B benchmarks'!A39:A56)*($M$40='Pathway B benchmarks'!B39:B56),0),1))</f>
        <v>#N/A</v>
      </c>
      <c r="AN40" s="347">
        <f t="shared" si="21"/>
        <v>0</v>
      </c>
      <c r="AO40" s="303"/>
      <c r="AP40" s="303"/>
      <c r="AQ40" s="344" t="str">
        <f t="shared" si="22"/>
        <v/>
      </c>
      <c r="AR40" s="339"/>
      <c r="AS40" s="363">
        <f>IF(AR40&gt;0,AR40*38.6*IF(OR(AO40&gt;$J$40,AP40&lt;$K$40), 0, IF(AO40&lt;$J$40,AP40-$J$40,IF($K$40&lt;AP40,AP40-$K$40,AQ40)))/AQ40,0)</f>
        <v>0</v>
      </c>
      <c r="AT40" s="345" t="e" cm="1">
        <f t="array" ref="AT40">IF('Pathway B benchmarks'!F39,INDEX('Pathway B benchmarks'!F39:F56,MATCH(1,($AS$6='Pathway B benchmarks'!A39:A56)*($M$40='Pathway B benchmarks'!B39:B56),0),1))</f>
        <v>#N/A</v>
      </c>
      <c r="AU40" s="347">
        <f t="shared" si="23"/>
        <v>0</v>
      </c>
      <c r="AV40" s="347" t="e">
        <f>IF($I40="","",IF($I40="Custom",0,INDEX('Pathway B benchmarks'!$17:$18,MATCH($I40,'Pathway B benchmarks'!$A$17:$A$18,0),MATCH($S40,'Pathway B benchmarks'!$17:$17,0))))</f>
        <v>#N/A</v>
      </c>
      <c r="AW40" s="347" t="e">
        <f>IF($I40="","",IF($I40="Custom",0,INDEX('Pathway B benchmarks'!$30:$34,2,MATCH($S40,'Pathway B benchmarks'!$30:$30,0))))</f>
        <v>#N/A</v>
      </c>
      <c r="AX40" s="345" t="e">
        <f>IF($AW$40=0,1,$Q$40/$AW$40)*$AV$40</f>
        <v>#N/A</v>
      </c>
      <c r="AY40" s="353" t="e">
        <f>$AX$40/1000*$Y40/0.0036</f>
        <v>#N/A</v>
      </c>
      <c r="AZ40" s="353" t="e">
        <f>$AY$40/70*100</f>
        <v>#N/A</v>
      </c>
      <c r="BA40" s="353" t="e">
        <f t="shared" si="24"/>
        <v>#N/A</v>
      </c>
      <c r="BB40" s="350">
        <f t="shared" si="25"/>
        <v>0</v>
      </c>
      <c r="BC40" s="350" t="e">
        <f t="shared" si="26"/>
        <v>#N/A</v>
      </c>
      <c r="BD40" s="351">
        <f>IF(OR(E40="Whole Building", E40="Hotel", E40="School", E40="Data Centre (Whole facility)", E40="Residential Aged Care", E40="Retirement Living", E40="RAC and retirement (co-located)"),VLOOKUP(BB40,'Points Table'!$B$13:$C$36,2,TRUE),IF(OR(E40="Base Building", E40="Shopping Centre", E40="Apartment", E40="Warehouse and Cold Store", E40="Data Centre (Infrastructure)"),VLOOKUP(BB40,'Points Table'!$E$13:$F$33,2,TRUE),0))</f>
        <v>0</v>
      </c>
      <c r="BE40" s="352" t="str">
        <f>IF(AND($E$40="Whole Building", $BD$40&gt;=10), "YES", IF(AND($E$40="Base Building", $BD$40&gt;=8), "YES", "NO"))</f>
        <v>NO</v>
      </c>
    </row>
    <row r="41" spans="2:57">
      <c r="B41" s="300"/>
      <c r="C41" s="300"/>
      <c r="D41" s="300"/>
      <c r="E41" s="300"/>
      <c r="F41" s="300"/>
      <c r="G41" s="300"/>
      <c r="H41" s="300"/>
      <c r="I41" s="343" t="s">
        <v>943</v>
      </c>
      <c r="J41" s="274"/>
      <c r="K41" s="274"/>
      <c r="L41" s="359">
        <f t="shared" si="18"/>
        <v>1</v>
      </c>
      <c r="M41" s="362">
        <f t="shared" si="19"/>
        <v>1900</v>
      </c>
      <c r="N41" s="300"/>
      <c r="O41" s="300"/>
      <c r="P41" s="300"/>
      <c r="Q41" s="300"/>
      <c r="R41" s="300"/>
      <c r="S41" s="300"/>
      <c r="T41" s="303"/>
      <c r="U41" s="303"/>
      <c r="V41" s="344" t="str">
        <f t="shared" si="20"/>
        <v/>
      </c>
      <c r="W41" s="339"/>
      <c r="X41" s="363">
        <f>IF(W41&gt;0,W41*0.0036*IF(OR(T41&gt;$J$41,U41&lt;$K$41), 0, IF(T41&lt;$J$41,U41-$J$41,IF($K$41&lt;U41,U41-$K$41,V41)))/V41,0)</f>
        <v>0</v>
      </c>
      <c r="Y41" s="346" t="e" cm="1">
        <f t="array" ref="Y41">IF('Pathway B benchmarks'!C61,INDEX('Pathway B benchmarks'!C61:C63,MATCH(1,($I$7='Pathway B benchmarks'!A61:A63)*($M$41='Pathway B benchmarks'!B61:B63),0),1))</f>
        <v>#N/A</v>
      </c>
      <c r="Z41" s="347" t="e">
        <f t="shared" si="4"/>
        <v>#N/A</v>
      </c>
      <c r="AA41" s="303"/>
      <c r="AB41" s="303"/>
      <c r="AC41" s="344" t="str">
        <f t="shared" si="5"/>
        <v/>
      </c>
      <c r="AD41" s="339"/>
      <c r="AE41" s="364">
        <f>IF(AD41&gt;0,AD41*0.001*IF(OR(AA41&gt;$J$41,AB41&lt;$K$41), 0, IF(AA41&lt;$J$41,AB41-$J$41,IF($K$41&lt;AB41,AB41-$K$41,AC41)))/AC41,0)</f>
        <v>0</v>
      </c>
      <c r="AF41" s="348" t="e" cm="1">
        <f t="array" ref="AF41">IF('Pathway B benchmarks'!F39,INDEX('Pathway B benchmarks'!F39:F56,MATCH(1,($AE$6='Pathway B benchmarks'!A39:A56)*($M$41='Pathway B benchmarks'!B39:B56),0),1))</f>
        <v>#N/A</v>
      </c>
      <c r="AG41" s="349">
        <f t="shared" si="6"/>
        <v>0</v>
      </c>
      <c r="AH41" s="303"/>
      <c r="AI41" s="303"/>
      <c r="AJ41" s="344" t="str">
        <f t="shared" si="7"/>
        <v/>
      </c>
      <c r="AK41" s="339"/>
      <c r="AL41" s="363">
        <f>IF(AK41&gt;0,AK41*26.2*IF(OR(AH41&gt;$J$41,AI41&lt;$K$41), 0, IF(AH41&lt;$J$41,AI41-$J$41,IF($K$41&lt;AI41,AI41-$K$41,AJ41)))/AJ41,0)</f>
        <v>0</v>
      </c>
      <c r="AM41" s="345" t="e" cm="1">
        <f t="array" ref="AM41">IF('Pathway B benchmarks'!F39,INDEX('Pathway B benchmarks'!F39:F56,MATCH(1,($AL$6='Pathway B benchmarks'!A39:A56)*($M$41='Pathway B benchmarks'!B39:B56),0),1))</f>
        <v>#N/A</v>
      </c>
      <c r="AN41" s="347">
        <f t="shared" si="21"/>
        <v>0</v>
      </c>
      <c r="AO41" s="303"/>
      <c r="AP41" s="303"/>
      <c r="AQ41" s="344" t="str">
        <f t="shared" si="22"/>
        <v/>
      </c>
      <c r="AR41" s="339"/>
      <c r="AS41" s="363">
        <f>IF(AR41&gt;0,AR41*38.6*IF(OR(AO41&gt;$J$41,AP41&lt;$K$41), 0, IF(AO41&lt;$J$41,AP41-$J$41,IF($K$41&lt;AP41,AP41-$K$41,AQ41)))/AQ41,0)</f>
        <v>0</v>
      </c>
      <c r="AT41" s="345" t="e" cm="1">
        <f t="array" ref="AT41">IF('Pathway B benchmarks'!F39,INDEX('Pathway B benchmarks'!F39:F56,MATCH(1,($AS$6='Pathway B benchmarks'!A39:A56)*($M$41='Pathway B benchmarks'!B39:B56),0),1))</f>
        <v>#N/A</v>
      </c>
      <c r="AU41" s="347">
        <f t="shared" si="23"/>
        <v>0</v>
      </c>
      <c r="AV41" s="347" t="e">
        <f>IF($I41="","",IF($I41="Custom",0,INDEX('Pathway B benchmarks'!$17:$18,MATCH($I41,'Pathway B benchmarks'!$A$17:$A$18,0),MATCH($S41,'Pathway B benchmarks'!$17:$17,0))))</f>
        <v>#N/A</v>
      </c>
      <c r="AW41" s="347" t="e">
        <f>IF($I41="","",IF($I41="Custom",0,INDEX('Pathway B benchmarks'!$30:$34,2,MATCH($S41,'Pathway B benchmarks'!$30:$30,0))))</f>
        <v>#N/A</v>
      </c>
      <c r="AX41" s="345" t="e">
        <f>IF($AW$41=0,1,$Q$41/$AW$41)*$AV$41</f>
        <v>#N/A</v>
      </c>
      <c r="AY41" s="353" t="e">
        <f>$AX$41/1000*$Y41/0.0036</f>
        <v>#N/A</v>
      </c>
      <c r="AZ41" s="353" t="e">
        <f>$AY$41/70*100</f>
        <v>#N/A</v>
      </c>
      <c r="BA41" s="353" t="e">
        <f t="shared" si="24"/>
        <v>#N/A</v>
      </c>
      <c r="BB41" s="350">
        <f t="shared" si="25"/>
        <v>0</v>
      </c>
      <c r="BC41" s="350" t="e">
        <f t="shared" si="26"/>
        <v>#N/A</v>
      </c>
      <c r="BD41" s="351">
        <f>IF(OR(E41="Whole Building", E41="Hotel", E41="School", E41="Data Centre (Whole facility)", E41="Residential Aged Care", E41="Retirement Living", E41="RAC and retirement (co-located)"),VLOOKUP(BB41,'Points Table'!$B$13:$C$36,2,TRUE),IF(OR(E41="Base Building", E41="Shopping Centre", E41="Apartment", E41="Warehouse and Cold Store", E41="Data Centre (Infrastructure)"),VLOOKUP(BB41,'Points Table'!$E$13:$F$33,2,TRUE),0))</f>
        <v>0</v>
      </c>
      <c r="BE41" s="352" t="str">
        <f>IF(AND($E$41="Whole Building", $BD$41&gt;=10), "YES", IF(AND($E$41="Base Building", $BD$41&gt;=8), "YES", "NO"))</f>
        <v>NO</v>
      </c>
    </row>
    <row r="42" spans="2:57">
      <c r="B42" s="300"/>
      <c r="C42" s="300"/>
      <c r="D42" s="300"/>
      <c r="E42" s="300"/>
      <c r="F42" s="300"/>
      <c r="G42" s="300"/>
      <c r="H42" s="300"/>
      <c r="I42" s="343" t="s">
        <v>943</v>
      </c>
      <c r="J42" s="274"/>
      <c r="K42" s="274"/>
      <c r="L42" s="359">
        <f t="shared" si="18"/>
        <v>1</v>
      </c>
      <c r="M42" s="362">
        <f t="shared" si="19"/>
        <v>1900</v>
      </c>
      <c r="N42" s="300"/>
      <c r="O42" s="300"/>
      <c r="P42" s="300"/>
      <c r="Q42" s="300"/>
      <c r="R42" s="300"/>
      <c r="S42" s="300"/>
      <c r="T42" s="303"/>
      <c r="U42" s="303"/>
      <c r="V42" s="344" t="str">
        <f t="shared" si="20"/>
        <v/>
      </c>
      <c r="W42" s="339"/>
      <c r="X42" s="363">
        <f>IF(W42&gt;0,W42*0.0036*IF(OR(T42&gt;$J$42,U42&lt;$K$42), 0, IF(T42&lt;$J$42,U42-$J$42,IF($K$42&lt;U42,U42-$K$42,V42)))/V42,0)</f>
        <v>0</v>
      </c>
      <c r="Y42" s="346" t="e" cm="1">
        <f t="array" ref="Y42">IF('Pathway B benchmarks'!C61,INDEX('Pathway B benchmarks'!C61:C63,MATCH(1,($I$7='Pathway B benchmarks'!A61:A63)*($M$42='Pathway B benchmarks'!B61:B63),0),1))</f>
        <v>#N/A</v>
      </c>
      <c r="Z42" s="347" t="e">
        <f t="shared" si="4"/>
        <v>#N/A</v>
      </c>
      <c r="AA42" s="303"/>
      <c r="AB42" s="303"/>
      <c r="AC42" s="344" t="str">
        <f t="shared" si="5"/>
        <v/>
      </c>
      <c r="AD42" s="339"/>
      <c r="AE42" s="364">
        <f>IF(AD42&gt;0,AD42*0.001*IF(OR(AA42&gt;$J$42,AB42&lt;$K$42), 0, IF(AA42&lt;$J$42,AB42-$J$42,IF($K$42&lt;AB42,AB42-$K$42,AC42)))/AC42,0)</f>
        <v>0</v>
      </c>
      <c r="AF42" s="348" t="e" cm="1">
        <f t="array" ref="AF42">IF('Pathway B benchmarks'!F39,INDEX('Pathway B benchmarks'!F39:F56,MATCH(1,($AE$6='Pathway B benchmarks'!A39:A56)*($M$42='Pathway B benchmarks'!B39:B56),0),1))</f>
        <v>#N/A</v>
      </c>
      <c r="AG42" s="349">
        <f t="shared" si="6"/>
        <v>0</v>
      </c>
      <c r="AH42" s="303"/>
      <c r="AI42" s="303"/>
      <c r="AJ42" s="344" t="str">
        <f t="shared" si="7"/>
        <v/>
      </c>
      <c r="AK42" s="339"/>
      <c r="AL42" s="363">
        <f>IF(AK42&gt;0,AK42*26.2*IF(OR(AH42&gt;$J$42,AI42&lt;$K$42), 0, IF(AH42&lt;$J$42,AI42-$J$42,IF($K$42&lt;AI42,AI42-$K$42,AJ42)))/AJ42,0)</f>
        <v>0</v>
      </c>
      <c r="AM42" s="345" t="e" cm="1">
        <f t="array" ref="AM42">IF('Pathway B benchmarks'!F39,INDEX('Pathway B benchmarks'!F39:F56,MATCH(1,($AL$6='Pathway B benchmarks'!A39:A56)*($M$42='Pathway B benchmarks'!B39:B56),0),1))</f>
        <v>#N/A</v>
      </c>
      <c r="AN42" s="347">
        <f t="shared" si="21"/>
        <v>0</v>
      </c>
      <c r="AO42" s="303"/>
      <c r="AP42" s="303"/>
      <c r="AQ42" s="344" t="str">
        <f t="shared" si="22"/>
        <v/>
      </c>
      <c r="AR42" s="339"/>
      <c r="AS42" s="363">
        <f>IF(AR42&gt;0,AR42*38.6*IF(OR(AO42&gt;$J$42,AP42&lt;$K$42), 0, IF(AO42&lt;$J$42,AP42-$J$42,IF($K$42&lt;AP42,AP42-$K$42,AQ42)))/AQ42,0)</f>
        <v>0</v>
      </c>
      <c r="AT42" s="345" t="e" cm="1">
        <f t="array" ref="AT42">IF('Pathway B benchmarks'!F39,INDEX('Pathway B benchmarks'!F39:F56,MATCH(1,($AS$6='Pathway B benchmarks'!A39:A56)*($M$42='Pathway B benchmarks'!B39:B56),0),1))</f>
        <v>#N/A</v>
      </c>
      <c r="AU42" s="347">
        <f t="shared" si="23"/>
        <v>0</v>
      </c>
      <c r="AV42" s="347" t="e">
        <f>IF($I42="","",IF($I42="Custom",0,INDEX('Pathway B benchmarks'!$17:$18,MATCH($I42,'Pathway B benchmarks'!$A$17:$A$18,0),MATCH($S42,'Pathway B benchmarks'!$17:$17,0))))</f>
        <v>#N/A</v>
      </c>
      <c r="AW42" s="347" t="e">
        <f>IF($I42="","",IF($I42="Custom",0,INDEX('Pathway B benchmarks'!$30:$34,2,MATCH($S42,'Pathway B benchmarks'!$30:$30,0))))</f>
        <v>#N/A</v>
      </c>
      <c r="AX42" s="345" t="e">
        <f>IF($AW$42=0,1,$Q$42/$AW$42)*$AV$42</f>
        <v>#N/A</v>
      </c>
      <c r="AY42" s="353" t="e">
        <f>$AX$42/1000*$Y42/0.0036</f>
        <v>#N/A</v>
      </c>
      <c r="AZ42" s="353" t="e">
        <f>$AY$42/70*100</f>
        <v>#N/A</v>
      </c>
      <c r="BA42" s="353" t="e">
        <f t="shared" si="24"/>
        <v>#N/A</v>
      </c>
      <c r="BB42" s="350">
        <f t="shared" si="25"/>
        <v>0</v>
      </c>
      <c r="BC42" s="350" t="e">
        <f t="shared" si="26"/>
        <v>#N/A</v>
      </c>
      <c r="BD42" s="351">
        <f>IF(OR(E42="Whole Building", E42="Hotel", E42="School", E42="Data Centre (Whole facility)", E42="Residential Aged Care", E42="Retirement Living", E42="RAC and retirement (co-located)"),VLOOKUP(BB42,'Points Table'!$B$13:$C$36,2,TRUE),IF(OR(E42="Base Building", E42="Shopping Centre", E42="Apartment", E42="Warehouse and Cold Store", E42="Data Centre (Infrastructure)"),VLOOKUP(BB42,'Points Table'!$E$13:$F$33,2,TRUE),0))</f>
        <v>0</v>
      </c>
      <c r="BE42" s="352" t="str">
        <f>IF(AND($E$42="Whole Building", $BD$42&gt;=10), "YES", IF(AND($E$42="Base Building", $BD$42&gt;=8), "YES", "NO"))</f>
        <v>NO</v>
      </c>
    </row>
    <row r="43" spans="2:57">
      <c r="B43" s="300"/>
      <c r="C43" s="300"/>
      <c r="D43" s="300"/>
      <c r="E43" s="300"/>
      <c r="F43" s="300"/>
      <c r="G43" s="300"/>
      <c r="H43" s="300"/>
      <c r="I43" s="343" t="s">
        <v>943</v>
      </c>
      <c r="J43" s="274"/>
      <c r="K43" s="274"/>
      <c r="L43" s="359">
        <f t="shared" si="18"/>
        <v>1</v>
      </c>
      <c r="M43" s="362">
        <f t="shared" si="19"/>
        <v>1900</v>
      </c>
      <c r="N43" s="300"/>
      <c r="O43" s="300"/>
      <c r="P43" s="300"/>
      <c r="Q43" s="300"/>
      <c r="R43" s="300"/>
      <c r="S43" s="300"/>
      <c r="T43" s="303"/>
      <c r="U43" s="303"/>
      <c r="V43" s="344" t="str">
        <f t="shared" si="20"/>
        <v/>
      </c>
      <c r="W43" s="339"/>
      <c r="X43" s="363">
        <f>IF(W43&gt;0,W43*0.0036*IF(OR(T43&gt;$J$43,U43&lt;$K$43), 0, IF(T43&lt;$J$43,U43-$J$43,IF($K$43&lt;U43,U43-$K$43,V43)))/V43,0)</f>
        <v>0</v>
      </c>
      <c r="Y43" s="346" t="e" cm="1">
        <f t="array" ref="Y43">IF('Pathway B benchmarks'!C61,INDEX('Pathway B benchmarks'!C61:C63,MATCH(1,($I$7='Pathway B benchmarks'!A61:A63)*($M$43='Pathway B benchmarks'!B61:B63),0),1))</f>
        <v>#N/A</v>
      </c>
      <c r="Z43" s="347" t="e">
        <f t="shared" si="4"/>
        <v>#N/A</v>
      </c>
      <c r="AA43" s="303"/>
      <c r="AB43" s="303"/>
      <c r="AC43" s="344" t="str">
        <f t="shared" si="5"/>
        <v/>
      </c>
      <c r="AD43" s="339"/>
      <c r="AE43" s="364">
        <f>IF(AD43&gt;0,AD43*0.001*IF(OR(AA43&gt;$J$43,AB43&lt;$K$43), 0, IF(AA43&lt;$J$43,AB43-$J$43,IF($K$43&lt;AB43,AB43-$K$43,AC43)))/AC43,0)</f>
        <v>0</v>
      </c>
      <c r="AF43" s="348" t="e" cm="1">
        <f t="array" ref="AF43">IF('Pathway B benchmarks'!F39,INDEX('Pathway B benchmarks'!F39:F56,MATCH(1,($AE$6='Pathway B benchmarks'!A39:A56)*($M$43='Pathway B benchmarks'!B39:B56),0),1))</f>
        <v>#N/A</v>
      </c>
      <c r="AG43" s="349">
        <f t="shared" si="6"/>
        <v>0</v>
      </c>
      <c r="AH43" s="303"/>
      <c r="AI43" s="303"/>
      <c r="AJ43" s="344" t="str">
        <f t="shared" si="7"/>
        <v/>
      </c>
      <c r="AK43" s="339"/>
      <c r="AL43" s="363">
        <f>IF(AK43&gt;0,AK43*26.2*IF(OR(AH43&gt;$J$43,AI43&lt;$K$43), 0, IF(AH43&lt;$J$43,AI43-$J$43,IF($K$43&lt;AI43,AI43-$K$43,AJ43)))/AJ43,0)</f>
        <v>0</v>
      </c>
      <c r="AM43" s="345" t="e" cm="1">
        <f t="array" ref="AM43">IF('Pathway B benchmarks'!F39,INDEX('Pathway B benchmarks'!F39:F56,MATCH(1,($AL$6='Pathway B benchmarks'!A39:A56)*($M$43='Pathway B benchmarks'!B39:B56),0),1))</f>
        <v>#N/A</v>
      </c>
      <c r="AN43" s="347">
        <f t="shared" si="21"/>
        <v>0</v>
      </c>
      <c r="AO43" s="303"/>
      <c r="AP43" s="303"/>
      <c r="AQ43" s="344" t="str">
        <f t="shared" si="22"/>
        <v/>
      </c>
      <c r="AR43" s="339"/>
      <c r="AS43" s="363">
        <f>IF(AR43&gt;0,AR43*38.6*IF(OR(AO43&gt;$J$43,AP43&lt;$K$43), 0, IF(AO43&lt;$J$43,AP43-$J$43,IF($K$43&lt;AP43,AP43-$K$43,AQ43)))/AQ43,0)</f>
        <v>0</v>
      </c>
      <c r="AT43" s="345" t="e" cm="1">
        <f t="array" ref="AT43">IF('Pathway B benchmarks'!F39,INDEX('Pathway B benchmarks'!F39:F56,MATCH(1,($AS$6='Pathway B benchmarks'!A39:A56)*($M$43='Pathway B benchmarks'!B39:B56),0),1))</f>
        <v>#N/A</v>
      </c>
      <c r="AU43" s="347">
        <f t="shared" si="23"/>
        <v>0</v>
      </c>
      <c r="AV43" s="347" t="e">
        <f>IF($I43="","",IF($I43="Custom",0,INDEX('Pathway B benchmarks'!$17:$18,MATCH($I43,'Pathway B benchmarks'!$A$17:$A$18,0),MATCH($S43,'Pathway B benchmarks'!$17:$17,0))))</f>
        <v>#N/A</v>
      </c>
      <c r="AW43" s="347" t="e">
        <f>IF($I43="","",IF($I43="Custom",0,INDEX('Pathway B benchmarks'!$30:$34,2,MATCH($S43,'Pathway B benchmarks'!$30:$30,0))))</f>
        <v>#N/A</v>
      </c>
      <c r="AX43" s="345" t="e">
        <f>IF($AW$43=0,1,$Q$43/$AW$43)*$AV$43</f>
        <v>#N/A</v>
      </c>
      <c r="AY43" s="353" t="e">
        <f>$AX$43/1000*$Y43/0.0036</f>
        <v>#N/A</v>
      </c>
      <c r="AZ43" s="353" t="e">
        <f>$AY$43/70*100</f>
        <v>#N/A</v>
      </c>
      <c r="BA43" s="353" t="e">
        <f t="shared" si="24"/>
        <v>#N/A</v>
      </c>
      <c r="BB43" s="350">
        <f t="shared" si="25"/>
        <v>0</v>
      </c>
      <c r="BC43" s="350" t="e">
        <f t="shared" si="26"/>
        <v>#N/A</v>
      </c>
      <c r="BD43" s="351">
        <f>IF(OR(E43="Whole Building", E43="Hotel", E43="School", E43="Data Centre (Whole facility)", E43="Residential Aged Care", E43="Retirement Living", E43="RAC and retirement (co-located)"),VLOOKUP(BB43,'Points Table'!$B$13:$C$36,2,TRUE),IF(OR(E43="Base Building", E43="Shopping Centre", E43="Apartment", E43="Warehouse and Cold Store", E43="Data Centre (Infrastructure)"),VLOOKUP(BB43,'Points Table'!$E$13:$F$33,2,TRUE),0))</f>
        <v>0</v>
      </c>
      <c r="BE43" s="352" t="str">
        <f>IF(AND($E$43="Whole Building", $BD$43&gt;=10), "YES", IF(AND($E$43="Base Building", $BD$43&gt;=8), "YES", "NO"))</f>
        <v>NO</v>
      </c>
    </row>
    <row r="44" spans="2:57">
      <c r="B44" s="300"/>
      <c r="C44" s="300"/>
      <c r="D44" s="300"/>
      <c r="E44" s="300"/>
      <c r="F44" s="300"/>
      <c r="G44" s="300"/>
      <c r="H44" s="300"/>
      <c r="I44" s="343" t="s">
        <v>943</v>
      </c>
      <c r="J44" s="274"/>
      <c r="K44" s="274"/>
      <c r="L44" s="359">
        <f t="shared" si="18"/>
        <v>1</v>
      </c>
      <c r="M44" s="362">
        <f t="shared" si="19"/>
        <v>1900</v>
      </c>
      <c r="N44" s="300"/>
      <c r="O44" s="300"/>
      <c r="P44" s="300"/>
      <c r="Q44" s="300"/>
      <c r="R44" s="300"/>
      <c r="S44" s="300"/>
      <c r="T44" s="303"/>
      <c r="U44" s="303"/>
      <c r="V44" s="344" t="str">
        <f t="shared" si="20"/>
        <v/>
      </c>
      <c r="W44" s="339"/>
      <c r="X44" s="363">
        <f>IF(W44&gt;0,W44*0.0036*IF(OR(T44&gt;$J$44,U44&lt;$K$44), 0, IF(T44&lt;$J$44,U44-$J$44,IF($K$44&lt;U44,U44-$K$44,V44)))/V44,0)</f>
        <v>0</v>
      </c>
      <c r="Y44" s="346" t="e" cm="1">
        <f t="array" ref="Y44">IF('Pathway B benchmarks'!C61,INDEX('Pathway B benchmarks'!C61:C63,MATCH(1,($I$7='Pathway B benchmarks'!A61:A63)*($M$44='Pathway B benchmarks'!B61:B63),0),1))</f>
        <v>#N/A</v>
      </c>
      <c r="Z44" s="347" t="e">
        <f t="shared" si="4"/>
        <v>#N/A</v>
      </c>
      <c r="AA44" s="303"/>
      <c r="AB44" s="303"/>
      <c r="AC44" s="344" t="str">
        <f t="shared" si="5"/>
        <v/>
      </c>
      <c r="AD44" s="339"/>
      <c r="AE44" s="364">
        <f>IF(AD44&gt;0,AD44*0.001*IF(OR(AA44&gt;$J$44,AB44&lt;$K$44), 0, IF(AA44&lt;$J$44,AB44-$J$44,IF($K$44&lt;AB44,AB44-$K$44,AC44)))/AC44,0)</f>
        <v>0</v>
      </c>
      <c r="AF44" s="348" t="e" cm="1">
        <f t="array" ref="AF44">IF('Pathway B benchmarks'!F39,INDEX('Pathway B benchmarks'!F39:F56,MATCH(1,($AE$6='Pathway B benchmarks'!A39:A56)*($M$44='Pathway B benchmarks'!B39:B56),0),1))</f>
        <v>#N/A</v>
      </c>
      <c r="AG44" s="349">
        <f t="shared" si="6"/>
        <v>0</v>
      </c>
      <c r="AH44" s="303"/>
      <c r="AI44" s="303"/>
      <c r="AJ44" s="344" t="str">
        <f t="shared" si="7"/>
        <v/>
      </c>
      <c r="AK44" s="339"/>
      <c r="AL44" s="363">
        <f>IF(AK44&gt;0,AK44*26.2*IF(OR(AH44&gt;$J$44,AI44&lt;$K$44), 0, IF(AH44&lt;$J$44,AI44-$J$44,IF($K$44&lt;AI44,AI44-$K$44,AJ44)))/AJ44,0)</f>
        <v>0</v>
      </c>
      <c r="AM44" s="345" t="e" cm="1">
        <f t="array" ref="AM44">IF('Pathway B benchmarks'!F39,INDEX('Pathway B benchmarks'!F39:F56,MATCH(1,($AL$6='Pathway B benchmarks'!A39:A56)*($M$44='Pathway B benchmarks'!B39:B56),0),1))</f>
        <v>#N/A</v>
      </c>
      <c r="AN44" s="347">
        <f t="shared" si="21"/>
        <v>0</v>
      </c>
      <c r="AO44" s="303"/>
      <c r="AP44" s="303"/>
      <c r="AQ44" s="344" t="str">
        <f t="shared" si="22"/>
        <v/>
      </c>
      <c r="AR44" s="339"/>
      <c r="AS44" s="363">
        <f>IF(AR44&gt;0,AR44*38.6*IF(OR(AO44&gt;$J$44,AP44&lt;$K$44), 0, IF(AO44&lt;$J$44,AP44-$J$44,IF($K$44&lt;AP44,AP44-$K$44,AQ44)))/AQ44,0)</f>
        <v>0</v>
      </c>
      <c r="AT44" s="345" t="e" cm="1">
        <f t="array" ref="AT44">IF('Pathway B benchmarks'!F39,INDEX('Pathway B benchmarks'!F39:F56,MATCH(1,($AS$6='Pathway B benchmarks'!A39:A56)*($M$44='Pathway B benchmarks'!B39:B56),0),1))</f>
        <v>#N/A</v>
      </c>
      <c r="AU44" s="347">
        <f t="shared" si="23"/>
        <v>0</v>
      </c>
      <c r="AV44" s="347" t="e">
        <f>IF($I44="","",IF($I44="Custom",0,INDEX('Pathway B benchmarks'!$17:$18,MATCH($I44,'Pathway B benchmarks'!$A$17:$A$18,0),MATCH($S44,'Pathway B benchmarks'!$17:$17,0))))</f>
        <v>#N/A</v>
      </c>
      <c r="AW44" s="347" t="e">
        <f>IF($I44="","",IF($I44="Custom",0,INDEX('Pathway B benchmarks'!$30:$34,2,MATCH($S44,'Pathway B benchmarks'!$30:$30,0))))</f>
        <v>#N/A</v>
      </c>
      <c r="AX44" s="345" t="e">
        <f>IF($AW$44=0,1,$Q$44/$AW$44)*$AV$44</f>
        <v>#N/A</v>
      </c>
      <c r="AY44" s="353" t="e">
        <f>$AX$44/1000*$Y44/0.0036</f>
        <v>#N/A</v>
      </c>
      <c r="AZ44" s="353" t="e">
        <f>$AY$44/70*100</f>
        <v>#N/A</v>
      </c>
      <c r="BA44" s="353" t="e">
        <f t="shared" si="24"/>
        <v>#N/A</v>
      </c>
      <c r="BB44" s="350">
        <f t="shared" si="25"/>
        <v>0</v>
      </c>
      <c r="BC44" s="350" t="e">
        <f t="shared" si="26"/>
        <v>#N/A</v>
      </c>
      <c r="BD44" s="351">
        <f>IF(OR(E44="Whole Building", E44="Hotel", E44="School", E44="Data Centre (Whole facility)", E44="Residential Aged Care", E44="Retirement Living", E44="RAC and retirement (co-located)"),VLOOKUP(BB44,'Points Table'!$B$13:$C$36,2,TRUE),IF(OR(E44="Base Building", E44="Shopping Centre", E44="Apartment", E44="Warehouse and Cold Store", E44="Data Centre (Infrastructure)"),VLOOKUP(BB44,'Points Table'!$E$13:$F$33,2,TRUE),0))</f>
        <v>0</v>
      </c>
      <c r="BE44" s="352" t="str">
        <f>IF(AND($E$44="Whole Building", $BD$44&gt;=10), "YES", IF(AND($E$44="Base Building", $BD$44&gt;=8), "YES", "NO"))</f>
        <v>NO</v>
      </c>
    </row>
    <row r="45" spans="2:57">
      <c r="B45" s="300"/>
      <c r="C45" s="300"/>
      <c r="D45" s="300"/>
      <c r="E45" s="300"/>
      <c r="F45" s="300"/>
      <c r="G45" s="300"/>
      <c r="H45" s="300"/>
      <c r="I45" s="343" t="s">
        <v>943</v>
      </c>
      <c r="J45" s="274"/>
      <c r="K45" s="274"/>
      <c r="L45" s="359">
        <f t="shared" si="18"/>
        <v>1</v>
      </c>
      <c r="M45" s="362">
        <f t="shared" si="19"/>
        <v>1900</v>
      </c>
      <c r="N45" s="300"/>
      <c r="O45" s="300"/>
      <c r="P45" s="300"/>
      <c r="Q45" s="300"/>
      <c r="R45" s="300"/>
      <c r="S45" s="300"/>
      <c r="T45" s="303"/>
      <c r="U45" s="303"/>
      <c r="V45" s="344" t="str">
        <f t="shared" si="20"/>
        <v/>
      </c>
      <c r="W45" s="339"/>
      <c r="X45" s="363">
        <f>IF(W45&gt;0,W45*0.0036*IF(OR(T45&gt;$J$45,U45&lt;$K$45), 0, IF(T45&lt;$J$45,U45-$J$45,IF($K$45&lt;U45,U45-$K$45,V45)))/V45,0)</f>
        <v>0</v>
      </c>
      <c r="Y45" s="346" t="e" cm="1">
        <f t="array" ref="Y45">IF('Pathway B benchmarks'!C61,INDEX('Pathway B benchmarks'!C61:C63,MATCH(1,($I$7='Pathway B benchmarks'!A61:A63)*($M$45='Pathway B benchmarks'!B61:B63),0),1))</f>
        <v>#N/A</v>
      </c>
      <c r="Z45" s="347" t="e">
        <f t="shared" si="4"/>
        <v>#N/A</v>
      </c>
      <c r="AA45" s="303"/>
      <c r="AB45" s="303"/>
      <c r="AC45" s="344" t="str">
        <f t="shared" si="5"/>
        <v/>
      </c>
      <c r="AD45" s="339"/>
      <c r="AE45" s="364">
        <f>IF(AD45&gt;0,AD45*0.001*IF(OR(AA45&gt;$J$45,AB45&lt;$K$45), 0, IF(AA45&lt;$J$45,AB45-$J$45,IF($K$45&lt;AB45,AB45-$K$45,AC45)))/AC45,0)</f>
        <v>0</v>
      </c>
      <c r="AF45" s="348" t="e" cm="1">
        <f t="array" ref="AF45">IF('Pathway B benchmarks'!F39,INDEX('Pathway B benchmarks'!F39:F56,MATCH(1,($AE$6='Pathway B benchmarks'!A39:A56)*($M$45='Pathway B benchmarks'!B39:B56),0),1))</f>
        <v>#N/A</v>
      </c>
      <c r="AG45" s="349">
        <f t="shared" si="6"/>
        <v>0</v>
      </c>
      <c r="AH45" s="303"/>
      <c r="AI45" s="303"/>
      <c r="AJ45" s="344" t="str">
        <f t="shared" si="7"/>
        <v/>
      </c>
      <c r="AK45" s="339"/>
      <c r="AL45" s="363">
        <f>IF(AK45&gt;0,AK45*26.2*IF(OR(AH45&gt;$J$45,AI45&lt;$K$45), 0, IF(AH45&lt;$J$45,AI45-$J$45,IF($K$45&lt;AI45,AI45-$K$45,AJ45)))/AJ45,0)</f>
        <v>0</v>
      </c>
      <c r="AM45" s="345" t="e" cm="1">
        <f t="array" ref="AM45">IF('Pathway B benchmarks'!F39,INDEX('Pathway B benchmarks'!F39:F56,MATCH(1,($AL$6='Pathway B benchmarks'!A39:A56)*($M$45='Pathway B benchmarks'!B39:B56),0),1))</f>
        <v>#N/A</v>
      </c>
      <c r="AN45" s="347">
        <f t="shared" si="21"/>
        <v>0</v>
      </c>
      <c r="AO45" s="303"/>
      <c r="AP45" s="303"/>
      <c r="AQ45" s="344" t="str">
        <f t="shared" si="22"/>
        <v/>
      </c>
      <c r="AR45" s="339"/>
      <c r="AS45" s="363">
        <f>IF(AR45&gt;0,AR45*38.6*IF(OR(AO45&gt;$J$45,AP45&lt;$K$45), 0, IF(AO45&lt;$J$45,AP45-$J$45,IF($K$45&lt;AP45,AP45-$K$45,AQ45)))/AQ45,0)</f>
        <v>0</v>
      </c>
      <c r="AT45" s="345" t="e" cm="1">
        <f t="array" ref="AT45">IF('Pathway B benchmarks'!F39,INDEX('Pathway B benchmarks'!F39:F56,MATCH(1,($AS$6='Pathway B benchmarks'!A39:A56)*($M$45='Pathway B benchmarks'!B39:B56),0),1))</f>
        <v>#N/A</v>
      </c>
      <c r="AU45" s="347">
        <f t="shared" si="23"/>
        <v>0</v>
      </c>
      <c r="AV45" s="347" t="e">
        <f>IF($I45="","",IF($I45="Custom",0,INDEX('Pathway B benchmarks'!$17:$18,MATCH($I45,'Pathway B benchmarks'!$A$17:$A$18,0),MATCH($S45,'Pathway B benchmarks'!$17:$17,0))))</f>
        <v>#N/A</v>
      </c>
      <c r="AW45" s="347" t="e">
        <f>IF($I45="","",IF($I45="Custom",0,INDEX('Pathway B benchmarks'!$30:$34,2,MATCH($S45,'Pathway B benchmarks'!$30:$30,0))))</f>
        <v>#N/A</v>
      </c>
      <c r="AX45" s="345" t="e">
        <f>IF($AW$45=0,1,$Q$45/$AW$45)*$AV$45</f>
        <v>#N/A</v>
      </c>
      <c r="AY45" s="353" t="e">
        <f>$AX$45/1000*$Y45/0.0036</f>
        <v>#N/A</v>
      </c>
      <c r="AZ45" s="353" t="e">
        <f>$AY$45/70*100</f>
        <v>#N/A</v>
      </c>
      <c r="BA45" s="353" t="e">
        <f t="shared" si="24"/>
        <v>#N/A</v>
      </c>
      <c r="BB45" s="350">
        <f t="shared" si="25"/>
        <v>0</v>
      </c>
      <c r="BC45" s="350" t="e">
        <f t="shared" si="26"/>
        <v>#N/A</v>
      </c>
      <c r="BD45" s="351">
        <f>IF(OR(E45="Whole Building", E45="Hotel", E45="School", E45="Data Centre (Whole facility)", E45="Residential Aged Care", E45="Retirement Living", E45="RAC and retirement (co-located)"),VLOOKUP(BB45,'Points Table'!$B$13:$C$36,2,TRUE),IF(OR(E45="Base Building", E45="Shopping Centre", E45="Apartment", E45="Warehouse and Cold Store", E45="Data Centre (Infrastructure)"),VLOOKUP(BB45,'Points Table'!$E$13:$F$33,2,TRUE),0))</f>
        <v>0</v>
      </c>
      <c r="BE45" s="352" t="str">
        <f>IF(AND($E$45="Whole Building", $BD$45&gt;=10), "YES", IF(AND($E$45="Base Building", $BD$45&gt;=8), "YES", "NO"))</f>
        <v>NO</v>
      </c>
    </row>
    <row r="46" spans="2:57">
      <c r="B46" s="300"/>
      <c r="C46" s="300"/>
      <c r="D46" s="300"/>
      <c r="E46" s="300"/>
      <c r="F46" s="300"/>
      <c r="G46" s="300"/>
      <c r="H46" s="300"/>
      <c r="I46" s="343" t="s">
        <v>943</v>
      </c>
      <c r="J46" s="274"/>
      <c r="K46" s="274"/>
      <c r="L46" s="359">
        <f t="shared" si="18"/>
        <v>1</v>
      </c>
      <c r="M46" s="362">
        <f t="shared" si="19"/>
        <v>1900</v>
      </c>
      <c r="N46" s="300"/>
      <c r="O46" s="300"/>
      <c r="P46" s="300"/>
      <c r="Q46" s="300"/>
      <c r="R46" s="300"/>
      <c r="S46" s="300"/>
      <c r="T46" s="303"/>
      <c r="U46" s="303"/>
      <c r="V46" s="344" t="str">
        <f t="shared" si="20"/>
        <v/>
      </c>
      <c r="W46" s="339"/>
      <c r="X46" s="363">
        <f>IF(W46&gt;0,W46*0.0036*IF(OR(T46&gt;$J$46,U46&lt;$K$46), 0, IF(T46&lt;$J$46,U46-$J$46,IF($K$46&lt;U46,U46-$K$46,V46)))/V46,0)</f>
        <v>0</v>
      </c>
      <c r="Y46" s="346" t="e" cm="1">
        <f t="array" ref="Y46">IF('Pathway B benchmarks'!C61,INDEX('Pathway B benchmarks'!C61:C63,MATCH(1,($I$7='Pathway B benchmarks'!A61:A63)*($M$46='Pathway B benchmarks'!B61:B63),0),1))</f>
        <v>#N/A</v>
      </c>
      <c r="Z46" s="347" t="e">
        <f t="shared" si="4"/>
        <v>#N/A</v>
      </c>
      <c r="AA46" s="303"/>
      <c r="AB46" s="303"/>
      <c r="AC46" s="344" t="str">
        <f t="shared" si="5"/>
        <v/>
      </c>
      <c r="AD46" s="339"/>
      <c r="AE46" s="364">
        <f>IF(AD46&gt;0,AD46*0.001*IF(OR(AA46&gt;$J$46,AB46&lt;$K$46), 0, IF(AA46&lt;$J$46,AB46-$J$46,IF($K$46&lt;AB46,AB46-$K$46,AC46)))/AC46,0)</f>
        <v>0</v>
      </c>
      <c r="AF46" s="348" t="e" cm="1">
        <f t="array" ref="AF46">IF('Pathway B benchmarks'!F39,INDEX('Pathway B benchmarks'!F39:F56,MATCH(1,($AE$6='Pathway B benchmarks'!A39:A56)*($M$46='Pathway B benchmarks'!B39:B56),0),1))</f>
        <v>#N/A</v>
      </c>
      <c r="AG46" s="349">
        <f t="shared" si="6"/>
        <v>0</v>
      </c>
      <c r="AH46" s="303"/>
      <c r="AI46" s="303"/>
      <c r="AJ46" s="344" t="str">
        <f t="shared" si="7"/>
        <v/>
      </c>
      <c r="AK46" s="339"/>
      <c r="AL46" s="363">
        <f>IF(AK46&gt;0,AK46*26.2*IF(OR(AH46&gt;$J$46,AI46&lt;$K$46), 0, IF(AH46&lt;$J$46,AI46-$J$46,IF($K$46&lt;AI46,AI46-$K$46,AJ46)))/AJ46,0)</f>
        <v>0</v>
      </c>
      <c r="AM46" s="345" t="e" cm="1">
        <f t="array" ref="AM46">IF('Pathway B benchmarks'!F39,INDEX('Pathway B benchmarks'!F39:F56,MATCH(1,($AL$6='Pathway B benchmarks'!A39:A56)*($M$46='Pathway B benchmarks'!B39:B56),0),1))</f>
        <v>#N/A</v>
      </c>
      <c r="AN46" s="347">
        <f t="shared" si="21"/>
        <v>0</v>
      </c>
      <c r="AO46" s="303"/>
      <c r="AP46" s="303"/>
      <c r="AQ46" s="344" t="str">
        <f t="shared" si="22"/>
        <v/>
      </c>
      <c r="AR46" s="339"/>
      <c r="AS46" s="363">
        <f>IF(AR46&gt;0,AR46*38.6*IF(OR(AO46&gt;$J$46,AP46&lt;$K$46), 0, IF(AO46&lt;$J$46,AP46-$J$46,IF($K$46&lt;AP46,AP46-$K$46,AQ46)))/AQ46,0)</f>
        <v>0</v>
      </c>
      <c r="AT46" s="345" t="e" cm="1">
        <f t="array" ref="AT46">IF('Pathway B benchmarks'!F39,INDEX('Pathway B benchmarks'!F39:F56,MATCH(1,($AS$6='Pathway B benchmarks'!A39:A56)*($M$46='Pathway B benchmarks'!B39:B56),0),1))</f>
        <v>#N/A</v>
      </c>
      <c r="AU46" s="347">
        <f t="shared" si="23"/>
        <v>0</v>
      </c>
      <c r="AV46" s="347" t="e">
        <f>IF($I46="","",IF($I46="Custom",0,INDEX('Pathway B benchmarks'!$17:$18,MATCH($I46,'Pathway B benchmarks'!$A$17:$A$18,0),MATCH($S46,'Pathway B benchmarks'!$17:$17,0))))</f>
        <v>#N/A</v>
      </c>
      <c r="AW46" s="347" t="e">
        <f>IF($I46="","",IF($I46="Custom",0,INDEX('Pathway B benchmarks'!$30:$34,2,MATCH($S46,'Pathway B benchmarks'!$30:$30,0))))</f>
        <v>#N/A</v>
      </c>
      <c r="AX46" s="345" t="e">
        <f>IF($AW$46=0,1,$Q$46/$AW$46)*$AV$46</f>
        <v>#N/A</v>
      </c>
      <c r="AY46" s="353" t="e">
        <f>$AX$46/1000*$Y46/0.0036</f>
        <v>#N/A</v>
      </c>
      <c r="AZ46" s="353" t="e">
        <f>$AY$46/70*100</f>
        <v>#N/A</v>
      </c>
      <c r="BA46" s="353" t="e">
        <f t="shared" si="24"/>
        <v>#N/A</v>
      </c>
      <c r="BB46" s="350">
        <f t="shared" si="25"/>
        <v>0</v>
      </c>
      <c r="BC46" s="350" t="e">
        <f t="shared" si="26"/>
        <v>#N/A</v>
      </c>
      <c r="BD46" s="351">
        <f>IF(OR(E46="Whole Building", E46="Hotel", E46="School", E46="Data Centre (Whole facility)", E46="Residential Aged Care", E46="Retirement Living", E46="RAC and retirement (co-located)"),VLOOKUP(BB46,'Points Table'!$B$13:$C$36,2,TRUE),IF(OR(E46="Base Building", E46="Shopping Centre", E46="Apartment", E46="Warehouse and Cold Store", E46="Data Centre (Infrastructure)"),VLOOKUP(BB46,'Points Table'!$E$13:$F$33,2,TRUE),0))</f>
        <v>0</v>
      </c>
      <c r="BE46" s="352" t="str">
        <f>IF(AND($E$46="Whole Building", $BD$46&gt;=10), "YES", IF(AND($E$46="Base Building", $BD$46&gt;=8), "YES", "NO"))</f>
        <v>NO</v>
      </c>
    </row>
    <row r="47" spans="2:57">
      <c r="B47" s="300"/>
      <c r="C47" s="300"/>
      <c r="D47" s="300"/>
      <c r="E47" s="300"/>
      <c r="F47" s="300"/>
      <c r="G47" s="300"/>
      <c r="H47" s="300"/>
      <c r="I47" s="343" t="s">
        <v>943</v>
      </c>
      <c r="J47" s="274"/>
      <c r="K47" s="274"/>
      <c r="L47" s="359">
        <f t="shared" si="18"/>
        <v>1</v>
      </c>
      <c r="M47" s="362">
        <f t="shared" si="19"/>
        <v>1900</v>
      </c>
      <c r="N47" s="300"/>
      <c r="O47" s="300"/>
      <c r="P47" s="300"/>
      <c r="Q47" s="300"/>
      <c r="R47" s="300"/>
      <c r="S47" s="300"/>
      <c r="T47" s="303"/>
      <c r="U47" s="303"/>
      <c r="V47" s="344" t="str">
        <f t="shared" si="20"/>
        <v/>
      </c>
      <c r="W47" s="339"/>
      <c r="X47" s="363">
        <f>IF(W47&gt;0,W47*0.0036*IF(OR(T47&gt;$J$47,U47&lt;$K$47), 0, IF(T47&lt;$J$47,U47-$J$47,IF($K$47&lt;U47,U47-$K$47,V47)))/V47,0)</f>
        <v>0</v>
      </c>
      <c r="Y47" s="346" t="e" cm="1">
        <f t="array" ref="Y47">IF('Pathway B benchmarks'!C61,INDEX('Pathway B benchmarks'!C61:C63,MATCH(1,($I$7='Pathway B benchmarks'!A61:A63)*($M$47='Pathway B benchmarks'!B61:B63),0),1))</f>
        <v>#N/A</v>
      </c>
      <c r="Z47" s="347" t="e">
        <f t="shared" si="4"/>
        <v>#N/A</v>
      </c>
      <c r="AA47" s="303"/>
      <c r="AB47" s="303"/>
      <c r="AC47" s="344" t="str">
        <f t="shared" si="5"/>
        <v/>
      </c>
      <c r="AD47" s="339"/>
      <c r="AE47" s="364">
        <f>IF(AD47&gt;0,AD47*0.001*IF(OR(AA47&gt;$J$47,AB47&lt;$K$47), 0, IF(AA47&lt;$J$47,AB47-$J$47,IF($K$47&lt;AB47,AB47-$K$47,AC47)))/AC47,0)</f>
        <v>0</v>
      </c>
      <c r="AF47" s="348" t="e" cm="1">
        <f t="array" ref="AF47">IF('Pathway B benchmarks'!F39,INDEX('Pathway B benchmarks'!F39:F56,MATCH(1,($AE$6='Pathway B benchmarks'!A39:A56)*($M$47='Pathway B benchmarks'!B39:B56),0),1))</f>
        <v>#N/A</v>
      </c>
      <c r="AG47" s="349">
        <f t="shared" si="6"/>
        <v>0</v>
      </c>
      <c r="AH47" s="303"/>
      <c r="AI47" s="303"/>
      <c r="AJ47" s="344" t="str">
        <f t="shared" si="7"/>
        <v/>
      </c>
      <c r="AK47" s="339"/>
      <c r="AL47" s="363">
        <f>IF(AK47&gt;0,AK47*26.2*IF(OR(AH47&gt;$J$47,AI47&lt;$K$47), 0, IF(AH47&lt;$J$47,AI47-$J$47,IF($K$47&lt;AI47,AI47-$K$47,AJ47)))/AJ47,0)</f>
        <v>0</v>
      </c>
      <c r="AM47" s="345" t="e" cm="1">
        <f t="array" ref="AM47">IF('Pathway B benchmarks'!F39,INDEX('Pathway B benchmarks'!F39:F56,MATCH(1,($AL$6='Pathway B benchmarks'!A39:A56)*($M$47='Pathway B benchmarks'!B39:B56),0),1))</f>
        <v>#N/A</v>
      </c>
      <c r="AN47" s="347">
        <f t="shared" si="21"/>
        <v>0</v>
      </c>
      <c r="AO47" s="303"/>
      <c r="AP47" s="303"/>
      <c r="AQ47" s="344" t="str">
        <f t="shared" si="22"/>
        <v/>
      </c>
      <c r="AR47" s="339"/>
      <c r="AS47" s="363">
        <f>IF(AR47&gt;0,AR47*38.6*IF(OR(AO47&gt;$J$47,AP47&lt;$K$47), 0, IF(AO47&lt;$J$47,AP47-$J$47,IF($K$47&lt;AP47,AP47-$K$47,AQ47)))/AQ47,0)</f>
        <v>0</v>
      </c>
      <c r="AT47" s="345" t="e" cm="1">
        <f t="array" ref="AT47">IF('Pathway B benchmarks'!F39,INDEX('Pathway B benchmarks'!F39:F56,MATCH(1,($AS$6='Pathway B benchmarks'!A39:A56)*($M$47='Pathway B benchmarks'!B39:B56),0),1))</f>
        <v>#N/A</v>
      </c>
      <c r="AU47" s="347">
        <f t="shared" si="23"/>
        <v>0</v>
      </c>
      <c r="AV47" s="347" t="e">
        <f>IF($I47="","",IF($I47="Custom",0,INDEX('Pathway B benchmarks'!$17:$18,MATCH($I47,'Pathway B benchmarks'!$A$17:$A$18,0),MATCH($S47,'Pathway B benchmarks'!$17:$17,0))))</f>
        <v>#N/A</v>
      </c>
      <c r="AW47" s="347" t="e">
        <f>IF($I47="","",IF($I47="Custom",0,INDEX('Pathway B benchmarks'!$30:$34,2,MATCH($S47,'Pathway B benchmarks'!$30:$30,0))))</f>
        <v>#N/A</v>
      </c>
      <c r="AX47" s="345" t="e">
        <f>IF($AW$47=0,1,$Q$47/$AW$47)*$AV$47</f>
        <v>#N/A</v>
      </c>
      <c r="AY47" s="353" t="e">
        <f>$AX$47/1000*$Y47/0.0036</f>
        <v>#N/A</v>
      </c>
      <c r="AZ47" s="353" t="e">
        <f>$AY$47/70*100</f>
        <v>#N/A</v>
      </c>
      <c r="BA47" s="353" t="e">
        <f t="shared" si="24"/>
        <v>#N/A</v>
      </c>
      <c r="BB47" s="350">
        <f t="shared" si="25"/>
        <v>0</v>
      </c>
      <c r="BC47" s="350" t="e">
        <f t="shared" si="26"/>
        <v>#N/A</v>
      </c>
      <c r="BD47" s="351">
        <f>IF(OR(E47="Whole Building", E47="Hotel", E47="School", E47="Data Centre (Whole facility)", E47="Residential Aged Care", E47="Retirement Living", E47="RAC and retirement (co-located)"),VLOOKUP(BB47,'Points Table'!$B$13:$C$36,2,TRUE),IF(OR(E47="Base Building", E47="Shopping Centre", E47="Apartment", E47="Warehouse and Cold Store", E47="Data Centre (Infrastructure)"),VLOOKUP(BB47,'Points Table'!$E$13:$F$33,2,TRUE),0))</f>
        <v>0</v>
      </c>
      <c r="BE47" s="352" t="str">
        <f>IF(AND($E$47="Whole Building", $BD$47&gt;=10), "YES", IF(AND($E$47="Base Building", $BD$47&gt;=8), "YES", "NO"))</f>
        <v>NO</v>
      </c>
    </row>
    <row r="48" spans="2:57">
      <c r="B48" s="300"/>
      <c r="C48" s="300"/>
      <c r="D48" s="300"/>
      <c r="E48" s="300"/>
      <c r="F48" s="300"/>
      <c r="G48" s="300"/>
      <c r="H48" s="300"/>
      <c r="I48" s="343" t="s">
        <v>943</v>
      </c>
      <c r="J48" s="274"/>
      <c r="K48" s="274"/>
      <c r="L48" s="359">
        <f t="shared" si="18"/>
        <v>1</v>
      </c>
      <c r="M48" s="362">
        <f t="shared" si="19"/>
        <v>1900</v>
      </c>
      <c r="N48" s="300"/>
      <c r="O48" s="300"/>
      <c r="P48" s="300"/>
      <c r="Q48" s="300"/>
      <c r="R48" s="300"/>
      <c r="S48" s="300"/>
      <c r="T48" s="303"/>
      <c r="U48" s="303"/>
      <c r="V48" s="344" t="str">
        <f t="shared" si="20"/>
        <v/>
      </c>
      <c r="W48" s="339"/>
      <c r="X48" s="363">
        <f>IF(W48&gt;0,W48*0.0036*IF(OR(T48&gt;$J$48,U48&lt;$K$48), 0, IF(T48&lt;$J$48,U48-$J$48,IF($K$48&lt;U48,U48-$K$48,V48)))/V48,0)</f>
        <v>0</v>
      </c>
      <c r="Y48" s="346" t="e" cm="1">
        <f t="array" ref="Y48">IF('Pathway B benchmarks'!C61,INDEX('Pathway B benchmarks'!C61:C63,MATCH(1,($I$7='Pathway B benchmarks'!A61:A63)*($M$48='Pathway B benchmarks'!B61:B63),0),1))</f>
        <v>#N/A</v>
      </c>
      <c r="Z48" s="347" t="e">
        <f t="shared" si="4"/>
        <v>#N/A</v>
      </c>
      <c r="AA48" s="303"/>
      <c r="AB48" s="303"/>
      <c r="AC48" s="344" t="str">
        <f t="shared" si="5"/>
        <v/>
      </c>
      <c r="AD48" s="339"/>
      <c r="AE48" s="364">
        <f>IF(AD48&gt;0,AD48*0.001*IF(OR(AA48&gt;$J$48,AB48&lt;$K$48), 0, IF(AA48&lt;$J$48,AB48-$J$48,IF($K$48&lt;AB48,AB48-$K$48,AC48)))/AC48,0)</f>
        <v>0</v>
      </c>
      <c r="AF48" s="348" t="e" cm="1">
        <f t="array" ref="AF48">IF('Pathway B benchmarks'!F39,INDEX('Pathway B benchmarks'!F39:F56,MATCH(1,($AE$6='Pathway B benchmarks'!A39:A56)*($M$48='Pathway B benchmarks'!B39:B56),0),1))</f>
        <v>#N/A</v>
      </c>
      <c r="AG48" s="349">
        <f t="shared" si="6"/>
        <v>0</v>
      </c>
      <c r="AH48" s="303"/>
      <c r="AI48" s="303"/>
      <c r="AJ48" s="344" t="str">
        <f t="shared" si="7"/>
        <v/>
      </c>
      <c r="AK48" s="339"/>
      <c r="AL48" s="363">
        <f>IF(AK48&gt;0,AK48*26.2*IF(OR(AH48&gt;$J$48,AI48&lt;$K$48), 0, IF(AH48&lt;$J$48,AI48-$J$48,IF($K$48&lt;AI48,AI48-$K$48,AJ48)))/AJ48,0)</f>
        <v>0</v>
      </c>
      <c r="AM48" s="345" t="e" cm="1">
        <f t="array" ref="AM48">IF('Pathway B benchmarks'!F39,INDEX('Pathway B benchmarks'!F39:F56,MATCH(1,($AL$6='Pathway B benchmarks'!A39:A56)*($M$48='Pathway B benchmarks'!B39:B56),0),1))</f>
        <v>#N/A</v>
      </c>
      <c r="AN48" s="347">
        <f t="shared" si="21"/>
        <v>0</v>
      </c>
      <c r="AO48" s="303"/>
      <c r="AP48" s="303"/>
      <c r="AQ48" s="344" t="str">
        <f t="shared" si="22"/>
        <v/>
      </c>
      <c r="AR48" s="339"/>
      <c r="AS48" s="363">
        <f>IF(AR48&gt;0,AR48*38.6*IF(OR(AO48&gt;$J$48,AP48&lt;$K$48), 0, IF(AO48&lt;$J$48,AP48-$J$48,IF($K$48&lt;AP48,AP48-$K$48,AQ48)))/AQ48,0)</f>
        <v>0</v>
      </c>
      <c r="AT48" s="345" t="e" cm="1">
        <f t="array" ref="AT48">IF('Pathway B benchmarks'!F39,INDEX('Pathway B benchmarks'!F39:F56,MATCH(1,($AS$6='Pathway B benchmarks'!A39:A56)*($M$48='Pathway B benchmarks'!B39:B56),0),1))</f>
        <v>#N/A</v>
      </c>
      <c r="AU48" s="347">
        <f t="shared" si="23"/>
        <v>0</v>
      </c>
      <c r="AV48" s="347" t="e">
        <f>IF($I48="","",IF($I48="Custom",0,INDEX('Pathway B benchmarks'!$17:$18,MATCH($I48,'Pathway B benchmarks'!$A$17:$A$18,0),MATCH($S48,'Pathway B benchmarks'!$17:$17,0))))</f>
        <v>#N/A</v>
      </c>
      <c r="AW48" s="347" t="e">
        <f>IF($I48="","",IF($I48="Custom",0,INDEX('Pathway B benchmarks'!$30:$34,2,MATCH($S48,'Pathway B benchmarks'!$30:$30,0))))</f>
        <v>#N/A</v>
      </c>
      <c r="AX48" s="345" t="e">
        <f>IF($AW$48=0,1,$Q$48/$AW$48)*$AV$48</f>
        <v>#N/A</v>
      </c>
      <c r="AY48" s="353" t="e">
        <f>$AX$48/1000*$Y48/0.0036</f>
        <v>#N/A</v>
      </c>
      <c r="AZ48" s="353" t="e">
        <f>$AY$48/70*100</f>
        <v>#N/A</v>
      </c>
      <c r="BA48" s="353" t="e">
        <f t="shared" si="24"/>
        <v>#N/A</v>
      </c>
      <c r="BB48" s="350">
        <f t="shared" si="25"/>
        <v>0</v>
      </c>
      <c r="BC48" s="350" t="e">
        <f t="shared" si="26"/>
        <v>#N/A</v>
      </c>
      <c r="BD48" s="351">
        <f>IF(OR(E48="Whole Building", E48="Hotel", E48="School", E48="Data Centre (Whole facility)", E48="Residential Aged Care", E48="Retirement Living", E48="RAC and retirement (co-located)"),VLOOKUP(BB48,'Points Table'!$B$13:$C$36,2,TRUE),IF(OR(E48="Base Building", E48="Shopping Centre", E48="Apartment", E48="Warehouse and Cold Store", E48="Data Centre (Infrastructure)"),VLOOKUP(BB48,'Points Table'!$E$13:$F$33,2,TRUE),0))</f>
        <v>0</v>
      </c>
      <c r="BE48" s="352" t="str">
        <f>IF(AND($E$48="Whole Building", $BD$48&gt;=10), "YES", IF(AND($E$48="Base Building", $BD$48&gt;=8), "YES", "NO"))</f>
        <v>NO</v>
      </c>
    </row>
    <row r="49" spans="2:57">
      <c r="B49" s="300"/>
      <c r="C49" s="300"/>
      <c r="D49" s="300"/>
      <c r="E49" s="300"/>
      <c r="F49" s="300"/>
      <c r="G49" s="300"/>
      <c r="H49" s="300"/>
      <c r="I49" s="343" t="s">
        <v>943</v>
      </c>
      <c r="J49" s="274"/>
      <c r="K49" s="274"/>
      <c r="L49" s="359">
        <f t="shared" si="18"/>
        <v>1</v>
      </c>
      <c r="M49" s="362">
        <f t="shared" si="19"/>
        <v>1900</v>
      </c>
      <c r="N49" s="300"/>
      <c r="O49" s="300"/>
      <c r="P49" s="300"/>
      <c r="Q49" s="300"/>
      <c r="R49" s="300"/>
      <c r="S49" s="300"/>
      <c r="T49" s="303"/>
      <c r="U49" s="303"/>
      <c r="V49" s="344" t="str">
        <f t="shared" si="20"/>
        <v/>
      </c>
      <c r="W49" s="339"/>
      <c r="X49" s="363">
        <f>IF(W49&gt;0,W49*0.0036*IF(OR(T49&gt;$J$49,U49&lt;$K$49), 0, IF(T49&lt;$J$49,U49-$J$49,IF($K$49&lt;U49,U49-$K$49,V49)))/V49,0)</f>
        <v>0</v>
      </c>
      <c r="Y49" s="346" t="e" cm="1">
        <f t="array" ref="Y49">IF('Pathway B benchmarks'!C61,INDEX('Pathway B benchmarks'!C61:C63,MATCH(1,($I$7='Pathway B benchmarks'!A61:A63)*($M$49='Pathway B benchmarks'!B61:B63),0),1))</f>
        <v>#N/A</v>
      </c>
      <c r="Z49" s="347" t="e">
        <f t="shared" si="4"/>
        <v>#N/A</v>
      </c>
      <c r="AA49" s="303"/>
      <c r="AB49" s="303"/>
      <c r="AC49" s="344" t="str">
        <f t="shared" si="5"/>
        <v/>
      </c>
      <c r="AD49" s="339"/>
      <c r="AE49" s="364">
        <f>IF(AD49&gt;0,AD49*0.001*IF(OR(AA49&gt;$J$49,AB49&lt;$K$49), 0, IF(AA49&lt;$J$49,AB49-$J$49,IF($K$49&lt;AB49,AB49-$K$49,AC49)))/AC49,0)</f>
        <v>0</v>
      </c>
      <c r="AF49" s="348" t="e" cm="1">
        <f t="array" ref="AF49">IF('Pathway B benchmarks'!F39,INDEX('Pathway B benchmarks'!F39:F56,MATCH(1,($AE$6='Pathway B benchmarks'!A39:A56)*($M$49='Pathway B benchmarks'!B39:B56),0),1))</f>
        <v>#N/A</v>
      </c>
      <c r="AG49" s="349">
        <f t="shared" si="6"/>
        <v>0</v>
      </c>
      <c r="AH49" s="303"/>
      <c r="AI49" s="303"/>
      <c r="AJ49" s="344" t="str">
        <f t="shared" si="7"/>
        <v/>
      </c>
      <c r="AK49" s="339"/>
      <c r="AL49" s="363">
        <f>IF(AK49&gt;0,AK49*26.2*IF(OR(AH49&gt;$J$49,AI49&lt;$K$49), 0, IF(AH49&lt;$J$49,AI49-$J$49,IF($K$49&lt;AI49,AI49-$K$49,AJ49)))/AJ49,0)</f>
        <v>0</v>
      </c>
      <c r="AM49" s="345" t="e" cm="1">
        <f t="array" ref="AM49">IF('Pathway B benchmarks'!F39,INDEX('Pathway B benchmarks'!F39:F56,MATCH(1,($AL$6='Pathway B benchmarks'!A39:A56)*($M$49='Pathway B benchmarks'!B39:B56),0),1))</f>
        <v>#N/A</v>
      </c>
      <c r="AN49" s="347">
        <f t="shared" si="21"/>
        <v>0</v>
      </c>
      <c r="AO49" s="303"/>
      <c r="AP49" s="303"/>
      <c r="AQ49" s="344" t="str">
        <f t="shared" si="22"/>
        <v/>
      </c>
      <c r="AR49" s="339"/>
      <c r="AS49" s="363">
        <f>IF(AR49&gt;0,AR49*38.6*IF(OR(AO49&gt;$J$49,AP49&lt;$K$49), 0, IF(AO49&lt;$J$49,AP49-$J$49,IF($K$49&lt;AP49,AP49-$K$49,AQ49)))/AQ49,0)</f>
        <v>0</v>
      </c>
      <c r="AT49" s="345" t="e" cm="1">
        <f t="array" ref="AT49">IF('Pathway B benchmarks'!F39,INDEX('Pathway B benchmarks'!F39:F56,MATCH(1,($AS$6='Pathway B benchmarks'!A39:A56)*($M$49='Pathway B benchmarks'!B39:B56),0),1))</f>
        <v>#N/A</v>
      </c>
      <c r="AU49" s="347">
        <f t="shared" si="23"/>
        <v>0</v>
      </c>
      <c r="AV49" s="347" t="e">
        <f>IF($I49="","",IF($I49="Custom",0,INDEX('Pathway B benchmarks'!$17:$18,MATCH($I49,'Pathway B benchmarks'!$A$17:$A$18,0),MATCH($S49,'Pathway B benchmarks'!$17:$17,0))))</f>
        <v>#N/A</v>
      </c>
      <c r="AW49" s="347" t="e">
        <f>IF($I49="","",IF($I49="Custom",0,INDEX('Pathway B benchmarks'!$30:$34,2,MATCH($S49,'Pathway B benchmarks'!$30:$30,0))))</f>
        <v>#N/A</v>
      </c>
      <c r="AX49" s="345" t="e">
        <f>IF($AW$49=0,1,$Q$49/$AW$49)*$AV$49</f>
        <v>#N/A</v>
      </c>
      <c r="AY49" s="353" t="e">
        <f>$AX$49/1000*$Y49/0.0036</f>
        <v>#N/A</v>
      </c>
      <c r="AZ49" s="353" t="e">
        <f>$AY$49/70*100</f>
        <v>#N/A</v>
      </c>
      <c r="BA49" s="353" t="e">
        <f t="shared" si="24"/>
        <v>#N/A</v>
      </c>
      <c r="BB49" s="350">
        <f t="shared" si="25"/>
        <v>0</v>
      </c>
      <c r="BC49" s="350" t="e">
        <f t="shared" si="26"/>
        <v>#N/A</v>
      </c>
      <c r="BD49" s="351">
        <f>IF(OR(E49="Whole Building", E49="Hotel", E49="School", E49="Data Centre (Whole facility)", E49="Residential Aged Care", E49="Retirement Living", E49="RAC and retirement (co-located)"),VLOOKUP(BB49,'Points Table'!$B$13:$C$36,2,TRUE),IF(OR(E49="Base Building", E49="Shopping Centre", E49="Apartment", E49="Warehouse and Cold Store", E49="Data Centre (Infrastructure)"),VLOOKUP(BB49,'Points Table'!$E$13:$F$33,2,TRUE),0))</f>
        <v>0</v>
      </c>
      <c r="BE49" s="352" t="str">
        <f>IF(AND($E$49="Whole Building", $BD$49&gt;=10), "YES", IF(AND($E$49="Base Building", $BD$49&gt;=8), "YES", "NO"))</f>
        <v>NO</v>
      </c>
    </row>
    <row r="50" spans="2:57">
      <c r="B50" s="300"/>
      <c r="C50" s="300"/>
      <c r="D50" s="300"/>
      <c r="E50" s="300"/>
      <c r="F50" s="300"/>
      <c r="G50" s="300"/>
      <c r="H50" s="300"/>
      <c r="I50" s="343" t="s">
        <v>943</v>
      </c>
      <c r="J50" s="274"/>
      <c r="K50" s="274"/>
      <c r="L50" s="359">
        <f t="shared" si="18"/>
        <v>1</v>
      </c>
      <c r="M50" s="362">
        <f t="shared" si="19"/>
        <v>1900</v>
      </c>
      <c r="N50" s="300"/>
      <c r="O50" s="300"/>
      <c r="P50" s="300"/>
      <c r="Q50" s="300"/>
      <c r="R50" s="300"/>
      <c r="S50" s="300"/>
      <c r="T50" s="303"/>
      <c r="U50" s="303"/>
      <c r="V50" s="344" t="str">
        <f t="shared" si="20"/>
        <v/>
      </c>
      <c r="W50" s="339"/>
      <c r="X50" s="363">
        <f>IF(W50&gt;0,W50*0.0036*IF(OR(T50&gt;$J$50,U50&lt;$K$50), 0, IF(T50&lt;$J$50,U50-$J$50,IF($K$50&lt;U50,U50-$K$50,V50)))/V50,0)</f>
        <v>0</v>
      </c>
      <c r="Y50" s="346" t="e" cm="1">
        <f t="array" ref="Y50">IF('Pathway B benchmarks'!C61,INDEX('Pathway B benchmarks'!C61:C63,MATCH(1,($I$7='Pathway B benchmarks'!A61:A63)*($M$50='Pathway B benchmarks'!B61:B63),0),1))</f>
        <v>#N/A</v>
      </c>
      <c r="Z50" s="347" t="e">
        <f t="shared" si="4"/>
        <v>#N/A</v>
      </c>
      <c r="AA50" s="303"/>
      <c r="AB50" s="303"/>
      <c r="AC50" s="344" t="str">
        <f t="shared" si="5"/>
        <v/>
      </c>
      <c r="AD50" s="339"/>
      <c r="AE50" s="364">
        <f>IF(AD50&gt;0,AD50*0.001*IF(OR(AA50&gt;$J$50,AB50&lt;$K$50), 0, IF(AA50&lt;$J$50,AB50-$J$50,IF($K$50&lt;AB50,AB50-$K$50,AC50)))/AC50,0)</f>
        <v>0</v>
      </c>
      <c r="AF50" s="348" t="e" cm="1">
        <f t="array" ref="AF50">IF('Pathway B benchmarks'!F39,INDEX('Pathway B benchmarks'!F39:F56,MATCH(1,($AE$6='Pathway B benchmarks'!A39:A56)*($M$50='Pathway B benchmarks'!B39:B56),0),1))</f>
        <v>#N/A</v>
      </c>
      <c r="AG50" s="349">
        <f t="shared" si="6"/>
        <v>0</v>
      </c>
      <c r="AH50" s="303"/>
      <c r="AI50" s="303"/>
      <c r="AJ50" s="344" t="str">
        <f t="shared" si="7"/>
        <v/>
      </c>
      <c r="AK50" s="339"/>
      <c r="AL50" s="363">
        <f>IF(AK50&gt;0,AK50*26.2*IF(OR(AH50&gt;$J$50,AI50&lt;$K$50), 0, IF(AH50&lt;$J$50,AI50-$J$50,IF($K$50&lt;AI50,AI50-$K$50,AJ50)))/AJ50,0)</f>
        <v>0</v>
      </c>
      <c r="AM50" s="345" t="e" cm="1">
        <f t="array" ref="AM50">IF('Pathway B benchmarks'!F39,INDEX('Pathway B benchmarks'!F39:F56,MATCH(1,($AL$6='Pathway B benchmarks'!A39:A56)*($M$50='Pathway B benchmarks'!B39:B56),0),1))</f>
        <v>#N/A</v>
      </c>
      <c r="AN50" s="347">
        <f t="shared" si="21"/>
        <v>0</v>
      </c>
      <c r="AO50" s="303"/>
      <c r="AP50" s="303"/>
      <c r="AQ50" s="344" t="str">
        <f t="shared" si="22"/>
        <v/>
      </c>
      <c r="AR50" s="339"/>
      <c r="AS50" s="363">
        <f>IF(AR50&gt;0,AR50*38.6*IF(OR(AO50&gt;$J$50,AP50&lt;$K$50), 0, IF(AO50&lt;$J$50,AP50-$J$50,IF($K$50&lt;AP50,AP50-$K$50,AQ50)))/AQ50,0)</f>
        <v>0</v>
      </c>
      <c r="AT50" s="345" t="e" cm="1">
        <f t="array" ref="AT50">IF('Pathway B benchmarks'!F39,INDEX('Pathway B benchmarks'!F39:F56,MATCH(1,($AS$6='Pathway B benchmarks'!A39:A56)*($M$50='Pathway B benchmarks'!B39:B56),0),1))</f>
        <v>#N/A</v>
      </c>
      <c r="AU50" s="347">
        <f t="shared" si="23"/>
        <v>0</v>
      </c>
      <c r="AV50" s="347" t="e">
        <f>IF($I50="","",IF($I50="Custom",0,INDEX('Pathway B benchmarks'!$17:$18,MATCH($I50,'Pathway B benchmarks'!$A$17:$A$18,0),MATCH($S50,'Pathway B benchmarks'!$17:$17,0))))</f>
        <v>#N/A</v>
      </c>
      <c r="AW50" s="347" t="e">
        <f>IF($I50="","",IF($I50="Custom",0,INDEX('Pathway B benchmarks'!$30:$34,2,MATCH($S50,'Pathway B benchmarks'!$30:$30,0))))</f>
        <v>#N/A</v>
      </c>
      <c r="AX50" s="345" t="e">
        <f>IF($AW$50=0,1,$Q$50/$AW$50)*$AV$50</f>
        <v>#N/A</v>
      </c>
      <c r="AY50" s="353" t="e">
        <f>$AX$50/1000*$Y50/0.0036</f>
        <v>#N/A</v>
      </c>
      <c r="AZ50" s="353" t="e">
        <f>$AY$50/70*100</f>
        <v>#N/A</v>
      </c>
      <c r="BA50" s="353" t="e">
        <f t="shared" si="24"/>
        <v>#N/A</v>
      </c>
      <c r="BB50" s="350">
        <f t="shared" si="25"/>
        <v>0</v>
      </c>
      <c r="BC50" s="350" t="e">
        <f t="shared" si="26"/>
        <v>#N/A</v>
      </c>
      <c r="BD50" s="351">
        <f>IF(OR(E50="Whole Building", E50="Hotel", E50="School", E50="Data Centre (Whole facility)", E50="Residential Aged Care", E50="Retirement Living", E50="RAC and retirement (co-located)"),VLOOKUP(BB50,'Points Table'!$B$13:$C$36,2,TRUE),IF(OR(E50="Base Building", E50="Shopping Centre", E50="Apartment", E50="Warehouse and Cold Store", E50="Data Centre (Infrastructure)"),VLOOKUP(BB50,'Points Table'!$E$13:$F$33,2,TRUE),0))</f>
        <v>0</v>
      </c>
      <c r="BE50" s="352" t="str">
        <f>IF(AND($E$50="Whole Building", $BD$50&gt;=10), "YES", IF(AND($E$50="Base Building", $BD$50&gt;=8), "YES", "NO"))</f>
        <v>NO</v>
      </c>
    </row>
    <row r="51" spans="2:57">
      <c r="B51" s="300"/>
      <c r="C51" s="300"/>
      <c r="D51" s="300"/>
      <c r="E51" s="300"/>
      <c r="F51" s="300"/>
      <c r="G51" s="300"/>
      <c r="H51" s="300"/>
      <c r="I51" s="343" t="s">
        <v>943</v>
      </c>
      <c r="J51" s="274"/>
      <c r="K51" s="274"/>
      <c r="L51" s="359">
        <f t="shared" si="18"/>
        <v>1</v>
      </c>
      <c r="M51" s="362">
        <f t="shared" si="19"/>
        <v>1900</v>
      </c>
      <c r="N51" s="300"/>
      <c r="O51" s="300"/>
      <c r="P51" s="300"/>
      <c r="Q51" s="300"/>
      <c r="R51" s="300"/>
      <c r="S51" s="300"/>
      <c r="T51" s="303"/>
      <c r="U51" s="303"/>
      <c r="V51" s="344" t="str">
        <f t="shared" si="20"/>
        <v/>
      </c>
      <c r="W51" s="339"/>
      <c r="X51" s="363">
        <f>IF(W51&gt;0,W51*0.0036*IF(OR(T51&gt;$J$51,U51&lt;$K$51), 0, IF(T51&lt;$J$51,U51-$J$51,IF($K$51&lt;U51,U51-$K$51,V51)))/V51,0)</f>
        <v>0</v>
      </c>
      <c r="Y51" s="346" t="e" cm="1">
        <f t="array" ref="Y51">IF('Pathway B benchmarks'!C61,INDEX('Pathway B benchmarks'!C61:C63,MATCH(1,($I$7='Pathway B benchmarks'!A61:A63)*($M$51='Pathway B benchmarks'!B61:B63),0),1))</f>
        <v>#N/A</v>
      </c>
      <c r="Z51" s="347" t="e">
        <f t="shared" si="4"/>
        <v>#N/A</v>
      </c>
      <c r="AA51" s="303"/>
      <c r="AB51" s="303"/>
      <c r="AC51" s="344" t="str">
        <f t="shared" si="5"/>
        <v/>
      </c>
      <c r="AD51" s="339"/>
      <c r="AE51" s="364">
        <f>IF(AD51&gt;0,AD51*0.001*IF(OR(AA51&gt;$J$51,AB51&lt;$K$51), 0, IF(AA51&lt;$J$51,AB51-$J$51,IF($K$51&lt;AB51,AB51-$K$51,AC51)))/AC51,0)</f>
        <v>0</v>
      </c>
      <c r="AF51" s="348" t="e" cm="1">
        <f t="array" ref="AF51">IF('Pathway B benchmarks'!F39,INDEX('Pathway B benchmarks'!F39:F56,MATCH(1,($AE$6='Pathway B benchmarks'!A39:A56)*($M$51='Pathway B benchmarks'!B39:B56),0),1))</f>
        <v>#N/A</v>
      </c>
      <c r="AG51" s="349">
        <f t="shared" si="6"/>
        <v>0</v>
      </c>
      <c r="AH51" s="303"/>
      <c r="AI51" s="303"/>
      <c r="AJ51" s="344" t="str">
        <f t="shared" si="7"/>
        <v/>
      </c>
      <c r="AK51" s="339"/>
      <c r="AL51" s="363">
        <f>IF(AK51&gt;0,AK51*26.2*IF(OR(AH51&gt;$J$51,AI51&lt;$K$51), 0, IF(AH51&lt;$J$51,AI51-$J$51,IF($K$51&lt;AI51,AI51-$K$51,AJ51)))/AJ51,0)</f>
        <v>0</v>
      </c>
      <c r="AM51" s="345" t="e" cm="1">
        <f t="array" ref="AM51">IF('Pathway B benchmarks'!F39,INDEX('Pathway B benchmarks'!F39:F56,MATCH(1,($AL$6='Pathway B benchmarks'!A39:A56)*($M$51='Pathway B benchmarks'!B39:B56),0),1))</f>
        <v>#N/A</v>
      </c>
      <c r="AN51" s="347">
        <f t="shared" si="21"/>
        <v>0</v>
      </c>
      <c r="AO51" s="303"/>
      <c r="AP51" s="303"/>
      <c r="AQ51" s="344" t="str">
        <f t="shared" si="22"/>
        <v/>
      </c>
      <c r="AR51" s="339"/>
      <c r="AS51" s="363">
        <f>IF(AR51&gt;0,AR51*38.6*IF(OR(AO51&gt;$J$51,AP51&lt;$K$51), 0, IF(AO51&lt;$J$51,AP51-$J$51,IF($K$51&lt;AP51,AP51-$K$51,AQ51)))/AQ51,0)</f>
        <v>0</v>
      </c>
      <c r="AT51" s="345" t="e" cm="1">
        <f t="array" ref="AT51">IF('Pathway B benchmarks'!F39,INDEX('Pathway B benchmarks'!F39:F56,MATCH(1,($AS$6='Pathway B benchmarks'!A39:A56)*($M$51='Pathway B benchmarks'!B39:B56),0),1))</f>
        <v>#N/A</v>
      </c>
      <c r="AU51" s="347">
        <f t="shared" si="23"/>
        <v>0</v>
      </c>
      <c r="AV51" s="347" t="e">
        <f>IF($I51="","",IF($I51="Custom",0,INDEX('Pathway B benchmarks'!$17:$18,MATCH($I51,'Pathway B benchmarks'!$A$17:$A$18,0),MATCH($S51,'Pathway B benchmarks'!$17:$17,0))))</f>
        <v>#N/A</v>
      </c>
      <c r="AW51" s="347" t="e">
        <f>IF($I51="","",IF($I51="Custom",0,INDEX('Pathway B benchmarks'!$30:$34,2,MATCH($S51,'Pathway B benchmarks'!$30:$30,0))))</f>
        <v>#N/A</v>
      </c>
      <c r="AX51" s="345" t="e">
        <f>IF($AW$51=0,1,$Q$51/$AW$51)*$AV$51</f>
        <v>#N/A</v>
      </c>
      <c r="AY51" s="353" t="e">
        <f>$AX$51/1000*$Y51/0.0036</f>
        <v>#N/A</v>
      </c>
      <c r="AZ51" s="353" t="e">
        <f>$AY$51/70*100</f>
        <v>#N/A</v>
      </c>
      <c r="BA51" s="353" t="e">
        <f t="shared" si="24"/>
        <v>#N/A</v>
      </c>
      <c r="BB51" s="350">
        <f t="shared" si="25"/>
        <v>0</v>
      </c>
      <c r="BC51" s="350" t="e">
        <f t="shared" si="26"/>
        <v>#N/A</v>
      </c>
      <c r="BD51" s="351">
        <f>IF(OR(E51="Whole Building", E51="Hotel", E51="School", E51="Data Centre (Whole facility)", E51="Residential Aged Care", E51="Retirement Living", E51="RAC and retirement (co-located)"),VLOOKUP(BB51,'Points Table'!$B$13:$C$36,2,TRUE),IF(OR(E51="Base Building", E51="Shopping Centre", E51="Apartment", E51="Warehouse and Cold Store", E51="Data Centre (Infrastructure)"),VLOOKUP(BB51,'Points Table'!$E$13:$F$33,2,TRUE),0))</f>
        <v>0</v>
      </c>
      <c r="BE51" s="352" t="str">
        <f>IF(AND($E$51="Whole Building", $BD$51&gt;=10), "YES", IF(AND($E$51="Base Building", $BD$51&gt;=8), "YES", "NO"))</f>
        <v>NO</v>
      </c>
    </row>
    <row r="52" spans="2:57">
      <c r="B52" s="300"/>
      <c r="C52" s="300"/>
      <c r="D52" s="300"/>
      <c r="E52" s="300"/>
      <c r="F52" s="300"/>
      <c r="G52" s="300"/>
      <c r="H52" s="300"/>
      <c r="I52" s="343" t="s">
        <v>943</v>
      </c>
      <c r="J52" s="274"/>
      <c r="K52" s="274"/>
      <c r="L52" s="359">
        <f t="shared" si="18"/>
        <v>1</v>
      </c>
      <c r="M52" s="362">
        <f t="shared" si="19"/>
        <v>1900</v>
      </c>
      <c r="N52" s="300"/>
      <c r="O52" s="300"/>
      <c r="P52" s="300"/>
      <c r="Q52" s="300"/>
      <c r="R52" s="300"/>
      <c r="S52" s="300"/>
      <c r="T52" s="303"/>
      <c r="U52" s="303"/>
      <c r="V52" s="344" t="str">
        <f t="shared" si="20"/>
        <v/>
      </c>
      <c r="W52" s="339"/>
      <c r="X52" s="363">
        <f>IF(W52&gt;0,W52*0.0036*IF(OR(T52&gt;$J$52,U52&lt;$K$52), 0, IF(T52&lt;$J$52,U52-$J$52,IF($K$52&lt;U52,U52-$K$52,V52)))/V52,0)</f>
        <v>0</v>
      </c>
      <c r="Y52" s="346" t="e" cm="1">
        <f t="array" ref="Y52">IF('Pathway B benchmarks'!C61,INDEX('Pathway B benchmarks'!C61:C63,MATCH(1,($I$7='Pathway B benchmarks'!A61:A63)*($M$52='Pathway B benchmarks'!B61:B63),0),1))</f>
        <v>#N/A</v>
      </c>
      <c r="Z52" s="347" t="e">
        <f t="shared" si="4"/>
        <v>#N/A</v>
      </c>
      <c r="AA52" s="303"/>
      <c r="AB52" s="303"/>
      <c r="AC52" s="344" t="str">
        <f t="shared" si="5"/>
        <v/>
      </c>
      <c r="AD52" s="339"/>
      <c r="AE52" s="364">
        <f>IF(AD52&gt;0,AD52*0.001*IF(OR(AA52&gt;$J$52,AB52&lt;$K$52), 0, IF(AA52&lt;$J$52,AB52-$J$52,IF($K$52&lt;AB52,AB52-$K$52,AC52)))/AC52,0)</f>
        <v>0</v>
      </c>
      <c r="AF52" s="348" t="e" cm="1">
        <f t="array" ref="AF52">IF('Pathway B benchmarks'!F39,INDEX('Pathway B benchmarks'!F39:F56,MATCH(1,($AE$6='Pathway B benchmarks'!A39:A56)*($M$52='Pathway B benchmarks'!B39:B56),0),1))</f>
        <v>#N/A</v>
      </c>
      <c r="AG52" s="349">
        <f t="shared" si="6"/>
        <v>0</v>
      </c>
      <c r="AH52" s="303"/>
      <c r="AI52" s="303"/>
      <c r="AJ52" s="344" t="str">
        <f t="shared" si="7"/>
        <v/>
      </c>
      <c r="AK52" s="339"/>
      <c r="AL52" s="363">
        <f>IF(AK52&gt;0,AK52*26.2*IF(OR(AH52&gt;$J$52,AI52&lt;$K$52), 0, IF(AH52&lt;$J$52,AI52-$J$52,IF($K$52&lt;AI52,AI52-$K$52,AJ52)))/AJ52,0)</f>
        <v>0</v>
      </c>
      <c r="AM52" s="345" t="e" cm="1">
        <f t="array" ref="AM52">IF('Pathway B benchmarks'!F39,INDEX('Pathway B benchmarks'!F39:F56,MATCH(1,($AL$6='Pathway B benchmarks'!A39:A56)*($M$52='Pathway B benchmarks'!B39:B56),0),1))</f>
        <v>#N/A</v>
      </c>
      <c r="AN52" s="347">
        <f t="shared" si="21"/>
        <v>0</v>
      </c>
      <c r="AO52" s="303"/>
      <c r="AP52" s="303"/>
      <c r="AQ52" s="344" t="str">
        <f t="shared" si="22"/>
        <v/>
      </c>
      <c r="AR52" s="339"/>
      <c r="AS52" s="363">
        <f>IF(AR52&gt;0,AR52*38.6*IF(OR(AO52&gt;$J$52,AP52&lt;$K$52), 0, IF(AO52&lt;$J$52,AP52-$J$52,IF($K$52&lt;AP52,AP52-$K$52,AQ52)))/AQ52,0)</f>
        <v>0</v>
      </c>
      <c r="AT52" s="345" t="e" cm="1">
        <f t="array" ref="AT52">IF('Pathway B benchmarks'!F39,INDEX('Pathway B benchmarks'!F39:F56,MATCH(1,($AS$6='Pathway B benchmarks'!A39:A56)*($M$52='Pathway B benchmarks'!B39:B56),0),1))</f>
        <v>#N/A</v>
      </c>
      <c r="AU52" s="347">
        <f t="shared" si="23"/>
        <v>0</v>
      </c>
      <c r="AV52" s="347" t="e">
        <f>IF($I52="","",IF($I52="Custom",0,INDEX('Pathway B benchmarks'!$17:$18,MATCH($I52,'Pathway B benchmarks'!$A$17:$A$18,0),MATCH($S52,'Pathway B benchmarks'!$17:$17,0))))</f>
        <v>#N/A</v>
      </c>
      <c r="AW52" s="347" t="e">
        <f>IF($I52="","",IF($I52="Custom",0,INDEX('Pathway B benchmarks'!$30:$34,2,MATCH($S52,'Pathway B benchmarks'!$30:$30,0))))</f>
        <v>#N/A</v>
      </c>
      <c r="AX52" s="345" t="e">
        <f>IF($AW$52=0,1,$Q$52/$AW$52)*$AV$52</f>
        <v>#N/A</v>
      </c>
      <c r="AY52" s="353" t="e">
        <f>$AX$52/1000*$Y52/0.0036</f>
        <v>#N/A</v>
      </c>
      <c r="AZ52" s="353" t="e">
        <f>$AY$52/70*100</f>
        <v>#N/A</v>
      </c>
      <c r="BA52" s="353" t="e">
        <f t="shared" si="24"/>
        <v>#N/A</v>
      </c>
      <c r="BB52" s="350">
        <f t="shared" si="25"/>
        <v>0</v>
      </c>
      <c r="BC52" s="350" t="e">
        <f t="shared" si="26"/>
        <v>#N/A</v>
      </c>
      <c r="BD52" s="351">
        <f>IF(OR(E52="Whole Building", E52="Hotel", E52="School", E52="Data Centre (Whole facility)", E52="Residential Aged Care", E52="Retirement Living", E52="RAC and retirement (co-located)"),VLOOKUP(BB52,'Points Table'!$B$13:$C$36,2,TRUE),IF(OR(E52="Base Building", E52="Shopping Centre", E52="Apartment", E52="Warehouse and Cold Store", E52="Data Centre (Infrastructure)"),VLOOKUP(BB52,'Points Table'!$E$13:$F$33,2,TRUE),0))</f>
        <v>0</v>
      </c>
      <c r="BE52" s="352" t="str">
        <f>IF(AND($E$52="Whole Building", $BD$52&gt;=10), "YES", IF(AND($E$52="Base Building", $BD$52&gt;=8), "YES", "NO"))</f>
        <v>NO</v>
      </c>
    </row>
    <row r="53" spans="2:57">
      <c r="B53" s="300"/>
      <c r="C53" s="300"/>
      <c r="D53" s="300"/>
      <c r="E53" s="300"/>
      <c r="F53" s="300"/>
      <c r="G53" s="300"/>
      <c r="H53" s="300"/>
      <c r="I53" s="343" t="s">
        <v>943</v>
      </c>
      <c r="J53" s="274"/>
      <c r="K53" s="274"/>
      <c r="L53" s="359">
        <f t="shared" si="18"/>
        <v>1</v>
      </c>
      <c r="M53" s="362">
        <f t="shared" si="19"/>
        <v>1900</v>
      </c>
      <c r="N53" s="300"/>
      <c r="O53" s="300"/>
      <c r="P53" s="300"/>
      <c r="Q53" s="300"/>
      <c r="R53" s="300"/>
      <c r="S53" s="300"/>
      <c r="T53" s="303"/>
      <c r="U53" s="303"/>
      <c r="V53" s="344" t="str">
        <f t="shared" si="20"/>
        <v/>
      </c>
      <c r="W53" s="339"/>
      <c r="X53" s="363">
        <f>IF(W53&gt;0,W53*0.0036*IF(OR(T53&gt;$J$53,U53&lt;$K$53), 0, IF(T53&lt;$J$53,U53-$J$53,IF($K$53&lt;U53,U53-$K$53,V53)))/V53,0)</f>
        <v>0</v>
      </c>
      <c r="Y53" s="346" t="e" cm="1">
        <f t="array" ref="Y53">IF('Pathway B benchmarks'!C61,INDEX('Pathway B benchmarks'!C61:C63,MATCH(1,($I$7='Pathway B benchmarks'!A61:A63)*($M$53='Pathway B benchmarks'!B61:B63),0),1))</f>
        <v>#N/A</v>
      </c>
      <c r="Z53" s="347" t="e">
        <f t="shared" si="4"/>
        <v>#N/A</v>
      </c>
      <c r="AA53" s="303"/>
      <c r="AB53" s="303"/>
      <c r="AC53" s="344" t="str">
        <f t="shared" si="5"/>
        <v/>
      </c>
      <c r="AD53" s="339"/>
      <c r="AE53" s="364">
        <f>IF(AD53&gt;0,AD53*0.001*IF(OR(AA53&gt;$J$53,AB53&lt;$K$53), 0, IF(AA53&lt;$J$53,AB53-$J$53,IF($K$53&lt;AB53,AB53-$K$53,AC53)))/AC53,0)</f>
        <v>0</v>
      </c>
      <c r="AF53" s="348" t="e" cm="1">
        <f t="array" ref="AF53">IF('Pathway B benchmarks'!F39,INDEX('Pathway B benchmarks'!F39:F56,MATCH(1,($AE$6='Pathway B benchmarks'!A39:A56)*($M$53='Pathway B benchmarks'!B39:B56),0),1))</f>
        <v>#N/A</v>
      </c>
      <c r="AG53" s="349">
        <f t="shared" si="6"/>
        <v>0</v>
      </c>
      <c r="AH53" s="303"/>
      <c r="AI53" s="303"/>
      <c r="AJ53" s="344" t="str">
        <f t="shared" si="7"/>
        <v/>
      </c>
      <c r="AK53" s="339"/>
      <c r="AL53" s="363">
        <f>IF(AK53&gt;0,AK53*26.2*IF(OR(AH53&gt;$J$53,AI53&lt;$K$53), 0, IF(AH53&lt;$J$53,AI53-$J$53,IF($K$53&lt;AI53,AI53-$K$53,AJ53)))/AJ53,0)</f>
        <v>0</v>
      </c>
      <c r="AM53" s="345" t="e" cm="1">
        <f t="array" ref="AM53">IF('Pathway B benchmarks'!F39,INDEX('Pathway B benchmarks'!F39:F56,MATCH(1,($AL$6='Pathway B benchmarks'!A39:A56)*($M$53='Pathway B benchmarks'!B39:B56),0),1))</f>
        <v>#N/A</v>
      </c>
      <c r="AN53" s="347">
        <f t="shared" si="21"/>
        <v>0</v>
      </c>
      <c r="AO53" s="303"/>
      <c r="AP53" s="303"/>
      <c r="AQ53" s="344" t="str">
        <f t="shared" si="22"/>
        <v/>
      </c>
      <c r="AR53" s="339"/>
      <c r="AS53" s="363">
        <f>IF(AR53&gt;0,AR53*38.6*IF(OR(AO53&gt;$J$53,AP53&lt;$K$53), 0, IF(AO53&lt;$J$53,AP53-$J$53,IF($K$53&lt;AP53,AP53-$K$53,AQ53)))/AQ53,0)</f>
        <v>0</v>
      </c>
      <c r="AT53" s="345" t="e" cm="1">
        <f t="array" ref="AT53">IF('Pathway B benchmarks'!F39,INDEX('Pathway B benchmarks'!F39:F56,MATCH(1,($AS$6='Pathway B benchmarks'!A39:A56)*($M$53='Pathway B benchmarks'!B39:B56),0),1))</f>
        <v>#N/A</v>
      </c>
      <c r="AU53" s="347">
        <f t="shared" si="23"/>
        <v>0</v>
      </c>
      <c r="AV53" s="347" t="e">
        <f>IF($I53="","",IF($I53="Custom",0,INDEX('Pathway B benchmarks'!$17:$18,MATCH($I53,'Pathway B benchmarks'!$A$17:$A$18,0),MATCH($S53,'Pathway B benchmarks'!$17:$17,0))))</f>
        <v>#N/A</v>
      </c>
      <c r="AW53" s="347" t="e">
        <f>IF($I53="","",IF($I53="Custom",0,INDEX('Pathway B benchmarks'!$30:$34,2,MATCH($S53,'Pathway B benchmarks'!$30:$30,0))))</f>
        <v>#N/A</v>
      </c>
      <c r="AX53" s="345" t="e">
        <f>IF($AW$53=0,1,$Q$53/$AW$53)*$AV$53</f>
        <v>#N/A</v>
      </c>
      <c r="AY53" s="353" t="e">
        <f>$AX$53/1000*$Y53/0.0036</f>
        <v>#N/A</v>
      </c>
      <c r="AZ53" s="353" t="e">
        <f>$AY$53/70*100</f>
        <v>#N/A</v>
      </c>
      <c r="BA53" s="353" t="e">
        <f t="shared" si="24"/>
        <v>#N/A</v>
      </c>
      <c r="BB53" s="350">
        <f t="shared" si="25"/>
        <v>0</v>
      </c>
      <c r="BC53" s="350" t="e">
        <f t="shared" si="26"/>
        <v>#N/A</v>
      </c>
      <c r="BD53" s="351">
        <f>IF(OR(E53="Whole Building", E53="Hotel", E53="School", E53="Data Centre (Whole facility)", E53="Residential Aged Care", E53="Retirement Living", E53="RAC and retirement (co-located)"),VLOOKUP(BB53,'Points Table'!$B$13:$C$36,2,TRUE),IF(OR(E53="Base Building", E53="Shopping Centre", E53="Apartment", E53="Warehouse and Cold Store", E53="Data Centre (Infrastructure)"),VLOOKUP(BB53,'Points Table'!$E$13:$F$33,2,TRUE),0))</f>
        <v>0</v>
      </c>
      <c r="BE53" s="352" t="str">
        <f>IF(AND($E$53="Whole Building", $BD$53&gt;=10), "YES", IF(AND($E$53="Base Building", $BD$53&gt;=8), "YES", "NO"))</f>
        <v>NO</v>
      </c>
    </row>
    <row r="54" spans="2:57">
      <c r="B54" s="300"/>
      <c r="C54" s="300"/>
      <c r="D54" s="300"/>
      <c r="E54" s="300"/>
      <c r="F54" s="300"/>
      <c r="G54" s="300"/>
      <c r="H54" s="300"/>
      <c r="I54" s="343" t="s">
        <v>943</v>
      </c>
      <c r="J54" s="274"/>
      <c r="K54" s="274"/>
      <c r="L54" s="359">
        <f t="shared" si="18"/>
        <v>1</v>
      </c>
      <c r="M54" s="362">
        <f t="shared" si="19"/>
        <v>1900</v>
      </c>
      <c r="N54" s="300"/>
      <c r="O54" s="300"/>
      <c r="P54" s="300"/>
      <c r="Q54" s="300"/>
      <c r="R54" s="300"/>
      <c r="S54" s="300"/>
      <c r="T54" s="303"/>
      <c r="U54" s="303"/>
      <c r="V54" s="344" t="str">
        <f t="shared" si="20"/>
        <v/>
      </c>
      <c r="W54" s="339"/>
      <c r="X54" s="363">
        <f>IF(W54&gt;0,W54*0.0036*IF(OR(T54&gt;$J$54,U54&lt;$K$54), 0, IF(T54&lt;$J$54,U54-$J$54,IF($K$54&lt;U54,U54-$K$54,V54)))/V54,0)</f>
        <v>0</v>
      </c>
      <c r="Y54" s="346" t="e" cm="1">
        <f t="array" ref="Y54">IF('Pathway B benchmarks'!C61,INDEX('Pathway B benchmarks'!C61:C63,MATCH(1,($I$7='Pathway B benchmarks'!A61:A63)*($M$54='Pathway B benchmarks'!B61:B63),0),1))</f>
        <v>#N/A</v>
      </c>
      <c r="Z54" s="347" t="e">
        <f t="shared" si="4"/>
        <v>#N/A</v>
      </c>
      <c r="AA54" s="303"/>
      <c r="AB54" s="303"/>
      <c r="AC54" s="344" t="str">
        <f t="shared" si="5"/>
        <v/>
      </c>
      <c r="AD54" s="339"/>
      <c r="AE54" s="364">
        <f>IF(AD54&gt;0,AD54*0.001*IF(OR(AA54&gt;$J$54,AB54&lt;$K$54), 0, IF(AA54&lt;$J$54,AB54-$J$54,IF($K$54&lt;AB54,AB54-$K$54,AC54)))/AC54,0)</f>
        <v>0</v>
      </c>
      <c r="AF54" s="348" t="e" cm="1">
        <f t="array" ref="AF54">IF('Pathway B benchmarks'!F39,INDEX('Pathway B benchmarks'!F39:F56,MATCH(1,($AE$6='Pathway B benchmarks'!A39:A56)*($M$54='Pathway B benchmarks'!B39:B56),0),1))</f>
        <v>#N/A</v>
      </c>
      <c r="AG54" s="349">
        <f t="shared" si="6"/>
        <v>0</v>
      </c>
      <c r="AH54" s="303"/>
      <c r="AI54" s="303"/>
      <c r="AJ54" s="344" t="str">
        <f t="shared" si="7"/>
        <v/>
      </c>
      <c r="AK54" s="339"/>
      <c r="AL54" s="363">
        <f>IF(AK54&gt;0,AK54*26.2*IF(OR(AH54&gt;$J$54,AI54&lt;$K$54), 0, IF(AH54&lt;$J$54,AI54-$J$54,IF($K$54&lt;AI54,AI54-$K$54,AJ54)))/AJ54,0)</f>
        <v>0</v>
      </c>
      <c r="AM54" s="345" t="e" cm="1">
        <f t="array" ref="AM54">IF('Pathway B benchmarks'!F39,INDEX('Pathway B benchmarks'!F39:F56,MATCH(1,($AL$6='Pathway B benchmarks'!A39:A56)*($M$54='Pathway B benchmarks'!B39:B56),0),1))</f>
        <v>#N/A</v>
      </c>
      <c r="AN54" s="347">
        <f t="shared" si="21"/>
        <v>0</v>
      </c>
      <c r="AO54" s="303"/>
      <c r="AP54" s="303"/>
      <c r="AQ54" s="344" t="str">
        <f t="shared" si="22"/>
        <v/>
      </c>
      <c r="AR54" s="339"/>
      <c r="AS54" s="363">
        <f>IF(AR54&gt;0,AR54*38.6*IF(OR(AO54&gt;$J$54,AP54&lt;$K$54), 0, IF(AO54&lt;$J$54,AP54-$J$54,IF($K$54&lt;AP54,AP54-$K$54,AQ54)))/AQ54,0)</f>
        <v>0</v>
      </c>
      <c r="AT54" s="345" t="e" cm="1">
        <f t="array" ref="AT54">IF('Pathway B benchmarks'!F39,INDEX('Pathway B benchmarks'!F39:F56,MATCH(1,($AS$6='Pathway B benchmarks'!A39:A56)*($M$54='Pathway B benchmarks'!B39:B56),0),1))</f>
        <v>#N/A</v>
      </c>
      <c r="AU54" s="347">
        <f t="shared" si="23"/>
        <v>0</v>
      </c>
      <c r="AV54" s="347" t="e">
        <f>IF($I54="","",IF($I54="Custom",0,INDEX('Pathway B benchmarks'!$17:$18,MATCH($I54,'Pathway B benchmarks'!$A$17:$A$18,0),MATCH($S54,'Pathway B benchmarks'!$17:$17,0))))</f>
        <v>#N/A</v>
      </c>
      <c r="AW54" s="347" t="e">
        <f>IF($I54="","",IF($I54="Custom",0,INDEX('Pathway B benchmarks'!$30:$34,2,MATCH($S54,'Pathway B benchmarks'!$30:$30,0))))</f>
        <v>#N/A</v>
      </c>
      <c r="AX54" s="345" t="e">
        <f>IF($AW$54=0,1,$Q$54/$AW$54)*$AV$54</f>
        <v>#N/A</v>
      </c>
      <c r="AY54" s="353" t="e">
        <f>$AX$54/1000*$Y54/0.0036</f>
        <v>#N/A</v>
      </c>
      <c r="AZ54" s="353" t="e">
        <f>$AY$54/70*100</f>
        <v>#N/A</v>
      </c>
      <c r="BA54" s="353" t="e">
        <f t="shared" si="24"/>
        <v>#N/A</v>
      </c>
      <c r="BB54" s="350">
        <f t="shared" si="25"/>
        <v>0</v>
      </c>
      <c r="BC54" s="350" t="e">
        <f t="shared" si="26"/>
        <v>#N/A</v>
      </c>
      <c r="BD54" s="351">
        <f>IF(OR(E54="Whole Building", E54="Hotel", E54="School", E54="Data Centre (Whole facility)", E54="Residential Aged Care", E54="Retirement Living", E54="RAC and retirement (co-located)"),VLOOKUP(BB54,'Points Table'!$B$13:$C$36,2,TRUE),IF(OR(E54="Base Building", E54="Shopping Centre", E54="Apartment", E54="Warehouse and Cold Store", E54="Data Centre (Infrastructure)"),VLOOKUP(BB54,'Points Table'!$E$13:$F$33,2,TRUE),0))</f>
        <v>0</v>
      </c>
      <c r="BE54" s="352" t="str">
        <f>IF(AND($E$54="Whole Building", $BD$54&gt;=10), "YES", IF(AND($E$54="Base Building", $BD$54&gt;=8), "YES", "NO"))</f>
        <v>NO</v>
      </c>
    </row>
    <row r="55" spans="2:57">
      <c r="B55" s="300"/>
      <c r="C55" s="300"/>
      <c r="D55" s="300"/>
      <c r="E55" s="300"/>
      <c r="F55" s="300"/>
      <c r="G55" s="300"/>
      <c r="H55" s="300"/>
      <c r="I55" s="343" t="s">
        <v>943</v>
      </c>
      <c r="J55" s="274"/>
      <c r="K55" s="274"/>
      <c r="L55" s="359">
        <f t="shared" si="18"/>
        <v>1</v>
      </c>
      <c r="M55" s="362">
        <f t="shared" si="19"/>
        <v>1900</v>
      </c>
      <c r="N55" s="300"/>
      <c r="O55" s="300"/>
      <c r="P55" s="300"/>
      <c r="Q55" s="300"/>
      <c r="R55" s="300"/>
      <c r="S55" s="300"/>
      <c r="T55" s="303"/>
      <c r="U55" s="303"/>
      <c r="V55" s="344" t="str">
        <f t="shared" si="20"/>
        <v/>
      </c>
      <c r="W55" s="339"/>
      <c r="X55" s="363">
        <f>IF(W55&gt;0,W55*0.0036*IF(OR(T55&gt;$J$55,U55&lt;$K$55), 0, IF(T55&lt;$J$55,U55-$J$55,IF($K$55&lt;U55,U55-$K$55,V55)))/V55,0)</f>
        <v>0</v>
      </c>
      <c r="Y55" s="346" t="e" cm="1">
        <f t="array" ref="Y55">IF('Pathway B benchmarks'!C61,INDEX('Pathway B benchmarks'!C61:C63,MATCH(1,($I$7='Pathway B benchmarks'!A61:A63)*($M$55='Pathway B benchmarks'!B61:B63),0),1))</f>
        <v>#N/A</v>
      </c>
      <c r="Z55" s="347" t="e">
        <f t="shared" si="4"/>
        <v>#N/A</v>
      </c>
      <c r="AA55" s="303"/>
      <c r="AB55" s="303"/>
      <c r="AC55" s="344" t="str">
        <f t="shared" si="5"/>
        <v/>
      </c>
      <c r="AD55" s="339"/>
      <c r="AE55" s="364">
        <f>IF(AD55&gt;0,AD55*0.001*IF(OR(AA55&gt;$J$55,AB55&lt;$K$55), 0, IF(AA55&lt;$J$55,AB55-$J$55,IF($K$55&lt;AB55,AB55-$K$55,AC55)))/AC55,0)</f>
        <v>0</v>
      </c>
      <c r="AF55" s="348" t="e" cm="1">
        <f t="array" ref="AF55">IF('Pathway B benchmarks'!F39,INDEX('Pathway B benchmarks'!F39:F56,MATCH(1,($AE$6='Pathway B benchmarks'!A39:A56)*($M$55='Pathway B benchmarks'!B39:B56),0),1))</f>
        <v>#N/A</v>
      </c>
      <c r="AG55" s="349">
        <f t="shared" si="6"/>
        <v>0</v>
      </c>
      <c r="AH55" s="303"/>
      <c r="AI55" s="303"/>
      <c r="AJ55" s="344" t="str">
        <f t="shared" si="7"/>
        <v/>
      </c>
      <c r="AK55" s="339"/>
      <c r="AL55" s="363">
        <f>IF(AK55&gt;0,AK55*26.2*IF(OR(AH55&gt;$J$55,AI55&lt;$K$55), 0, IF(AH55&lt;$J$55,AI55-$J$55,IF($K$55&lt;AI55,AI55-$K$55,AJ55)))/AJ55,0)</f>
        <v>0</v>
      </c>
      <c r="AM55" s="345" t="e" cm="1">
        <f t="array" ref="AM55">IF('Pathway B benchmarks'!F39,INDEX('Pathway B benchmarks'!F39:F56,MATCH(1,($AL$6='Pathway B benchmarks'!A39:A56)*($M$55='Pathway B benchmarks'!B39:B56),0),1))</f>
        <v>#N/A</v>
      </c>
      <c r="AN55" s="347">
        <f t="shared" si="21"/>
        <v>0</v>
      </c>
      <c r="AO55" s="303"/>
      <c r="AP55" s="303"/>
      <c r="AQ55" s="344" t="str">
        <f t="shared" si="22"/>
        <v/>
      </c>
      <c r="AR55" s="339"/>
      <c r="AS55" s="363">
        <f>IF(AR55&gt;0,AR55*38.6*IF(OR(AO55&gt;$J$55,AP55&lt;$K$55), 0, IF(AO55&lt;$J$55,AP55-$J$55,IF($K$55&lt;AP55,AP55-$K$55,AQ55)))/AQ55,0)</f>
        <v>0</v>
      </c>
      <c r="AT55" s="345" t="e" cm="1">
        <f t="array" ref="AT55">IF('Pathway B benchmarks'!F39,INDEX('Pathway B benchmarks'!F39:F56,MATCH(1,($AS$6='Pathway B benchmarks'!A39:A56)*($M$55='Pathway B benchmarks'!B39:B56),0),1))</f>
        <v>#N/A</v>
      </c>
      <c r="AU55" s="347">
        <f t="shared" si="23"/>
        <v>0</v>
      </c>
      <c r="AV55" s="347" t="e">
        <f>IF($I55="","",IF($I55="Custom",0,INDEX('Pathway B benchmarks'!$17:$18,MATCH($I55,'Pathway B benchmarks'!$A$17:$A$18,0),MATCH($S55,'Pathway B benchmarks'!$17:$17,0))))</f>
        <v>#N/A</v>
      </c>
      <c r="AW55" s="347" t="e">
        <f>IF($I55="","",IF($I55="Custom",0,INDEX('Pathway B benchmarks'!$30:$34,2,MATCH($S55,'Pathway B benchmarks'!$30:$30,0))))</f>
        <v>#N/A</v>
      </c>
      <c r="AX55" s="345" t="e">
        <f>IF($AW$55=0,1,$Q$55/$AW$55)*$AV$55</f>
        <v>#N/A</v>
      </c>
      <c r="AY55" s="353" t="e">
        <f>$AX$55/1000*$Y55/0.0036</f>
        <v>#N/A</v>
      </c>
      <c r="AZ55" s="353" t="e">
        <f>$AY$55/70*100</f>
        <v>#N/A</v>
      </c>
      <c r="BA55" s="353" t="e">
        <f t="shared" si="24"/>
        <v>#N/A</v>
      </c>
      <c r="BB55" s="350">
        <f t="shared" si="25"/>
        <v>0</v>
      </c>
      <c r="BC55" s="350" t="e">
        <f t="shared" si="26"/>
        <v>#N/A</v>
      </c>
      <c r="BD55" s="351">
        <f>IF(OR(E55="Whole Building", E55="Hotel", E55="School", E55="Data Centre (Whole facility)", E55="Residential Aged Care", E55="Retirement Living", E55="RAC and retirement (co-located)"),VLOOKUP(BB55,'Points Table'!$B$13:$C$36,2,TRUE),IF(OR(E55="Base Building", E55="Shopping Centre", E55="Apartment", E55="Warehouse and Cold Store", E55="Data Centre (Infrastructure)"),VLOOKUP(BB55,'Points Table'!$E$13:$F$33,2,TRUE),0))</f>
        <v>0</v>
      </c>
      <c r="BE55" s="352" t="str">
        <f>IF(AND($E$55="Whole Building", $BD$55&gt;=10), "YES", IF(AND($E$55="Base Building", $BD$55&gt;=8), "YES", "NO"))</f>
        <v>NO</v>
      </c>
    </row>
    <row r="56" spans="2:57">
      <c r="B56" s="300"/>
      <c r="C56" s="300"/>
      <c r="D56" s="300"/>
      <c r="E56" s="300"/>
      <c r="F56" s="300"/>
      <c r="G56" s="300"/>
      <c r="H56" s="300"/>
      <c r="I56" s="343" t="s">
        <v>943</v>
      </c>
      <c r="J56" s="274"/>
      <c r="K56" s="274"/>
      <c r="L56" s="359">
        <f t="shared" si="18"/>
        <v>1</v>
      </c>
      <c r="M56" s="362">
        <f t="shared" si="19"/>
        <v>1900</v>
      </c>
      <c r="N56" s="300"/>
      <c r="O56" s="300"/>
      <c r="P56" s="300"/>
      <c r="Q56" s="300"/>
      <c r="R56" s="300"/>
      <c r="S56" s="300"/>
      <c r="T56" s="303"/>
      <c r="U56" s="303"/>
      <c r="V56" s="344" t="str">
        <f t="shared" si="20"/>
        <v/>
      </c>
      <c r="W56" s="339"/>
      <c r="X56" s="363">
        <f>IF(W56&gt;0,W56*0.0036*IF(OR(T56&gt;$J$56,U56&lt;$K$56), 0, IF(T56&lt;$J$56,U56-$J$56,IF($K$56&lt;U56,U56-$K$56,V56)))/V56,0)</f>
        <v>0</v>
      </c>
      <c r="Y56" s="346" t="e" cm="1">
        <f t="array" ref="Y56">IF('Pathway B benchmarks'!C61,INDEX('Pathway B benchmarks'!C61:C63,MATCH(1,($I$7='Pathway B benchmarks'!A61:A63)*($M$56='Pathway B benchmarks'!B61:B63),0),1))</f>
        <v>#N/A</v>
      </c>
      <c r="Z56" s="347" t="e">
        <f t="shared" si="4"/>
        <v>#N/A</v>
      </c>
      <c r="AA56" s="303"/>
      <c r="AB56" s="303"/>
      <c r="AC56" s="344" t="str">
        <f t="shared" si="5"/>
        <v/>
      </c>
      <c r="AD56" s="339"/>
      <c r="AE56" s="364">
        <f>IF(AD56&gt;0,AD56*0.001*IF(OR(AA56&gt;$J$56,AB56&lt;$K$56), 0, IF(AA56&lt;$J$56,AB56-$J$56,IF($K$56&lt;AB56,AB56-$K$56,AC56)))/AC56,0)</f>
        <v>0</v>
      </c>
      <c r="AF56" s="348" t="e" cm="1">
        <f t="array" ref="AF56">IF('Pathway B benchmarks'!F39,INDEX('Pathway B benchmarks'!F39:F56,MATCH(1,($AE$6='Pathway B benchmarks'!A39:A56)*($M$56='Pathway B benchmarks'!B39:B56),0),1))</f>
        <v>#N/A</v>
      </c>
      <c r="AG56" s="349">
        <f t="shared" si="6"/>
        <v>0</v>
      </c>
      <c r="AH56" s="303"/>
      <c r="AI56" s="303"/>
      <c r="AJ56" s="344" t="str">
        <f t="shared" si="7"/>
        <v/>
      </c>
      <c r="AK56" s="339"/>
      <c r="AL56" s="363">
        <f>IF(AK56&gt;0,AK56*26.2*IF(OR(AH56&gt;$J$56,AI56&lt;$K$56), 0, IF(AH56&lt;$J$56,AI56-$J$56,IF($K$56&lt;AI56,AI56-$K$56,AJ56)))/AJ56,0)</f>
        <v>0</v>
      </c>
      <c r="AM56" s="345" t="e" cm="1">
        <f t="array" ref="AM56">IF('Pathway B benchmarks'!F39,INDEX('Pathway B benchmarks'!F39:F56,MATCH(1,($AL$6='Pathway B benchmarks'!A39:A56)*($M$56='Pathway B benchmarks'!B39:B56),0),1))</f>
        <v>#N/A</v>
      </c>
      <c r="AN56" s="347">
        <f t="shared" si="21"/>
        <v>0</v>
      </c>
      <c r="AO56" s="303"/>
      <c r="AP56" s="303"/>
      <c r="AQ56" s="344" t="str">
        <f t="shared" si="22"/>
        <v/>
      </c>
      <c r="AR56" s="339"/>
      <c r="AS56" s="363">
        <f>IF(AR56&gt;0,AR56*38.6*IF(OR(AO56&gt;$J$56,AP56&lt;$K$56), 0, IF(AO56&lt;$J$56,AP56-$J$56,IF($K$56&lt;AP56,AP56-$K$56,AQ56)))/AQ56,0)</f>
        <v>0</v>
      </c>
      <c r="AT56" s="345" t="e" cm="1">
        <f t="array" ref="AT56">IF('Pathway B benchmarks'!F39,INDEX('Pathway B benchmarks'!F39:F56,MATCH(1,($AS$6='Pathway B benchmarks'!A39:A56)*($M$56='Pathway B benchmarks'!B39:B56),0),1))</f>
        <v>#N/A</v>
      </c>
      <c r="AU56" s="347">
        <f t="shared" si="23"/>
        <v>0</v>
      </c>
      <c r="AV56" s="347" t="e">
        <f>IF($I56="","",IF($I56="Custom",0,INDEX('Pathway B benchmarks'!$17:$18,MATCH($I56,'Pathway B benchmarks'!$A$17:$A$18,0),MATCH($S56,'Pathway B benchmarks'!$17:$17,0))))</f>
        <v>#N/A</v>
      </c>
      <c r="AW56" s="347" t="e">
        <f>IF($I56="","",IF($I56="Custom",0,INDEX('Pathway B benchmarks'!$30:$34,2,MATCH($S56,'Pathway B benchmarks'!$30:$30,0))))</f>
        <v>#N/A</v>
      </c>
      <c r="AX56" s="345" t="e">
        <f>IF($AW$56=0,1,$Q$56/$AW$56)*$AV$56</f>
        <v>#N/A</v>
      </c>
      <c r="AY56" s="353" t="e">
        <f>$AX$56/1000*$Y56/0.0036</f>
        <v>#N/A</v>
      </c>
      <c r="AZ56" s="353" t="e">
        <f>$AY$56/70*100</f>
        <v>#N/A</v>
      </c>
      <c r="BA56" s="353" t="e">
        <f t="shared" si="24"/>
        <v>#N/A</v>
      </c>
      <c r="BB56" s="350">
        <f t="shared" si="25"/>
        <v>0</v>
      </c>
      <c r="BC56" s="350" t="e">
        <f t="shared" si="26"/>
        <v>#N/A</v>
      </c>
      <c r="BD56" s="351">
        <f>IF(OR(E56="Whole Building", E56="Hotel", E56="School", E56="Data Centre (Whole facility)", E56="Residential Aged Care", E56="Retirement Living", E56="RAC and retirement (co-located)"),VLOOKUP(BB56,'Points Table'!$B$13:$C$36,2,TRUE),IF(OR(E56="Base Building", E56="Shopping Centre", E56="Apartment", E56="Warehouse and Cold Store", E56="Data Centre (Infrastructure)"),VLOOKUP(BB56,'Points Table'!$E$13:$F$33,2,TRUE),0))</f>
        <v>0</v>
      </c>
      <c r="BE56" s="352" t="str">
        <f>IF(AND($E$56="Whole Building", $BD$56&gt;=10), "YES", IF(AND($E$56="Base Building", $BD$56&gt;=8), "YES", "NO"))</f>
        <v>NO</v>
      </c>
    </row>
    <row r="57" spans="2:57">
      <c r="B57" s="300"/>
      <c r="C57" s="300"/>
      <c r="D57" s="300"/>
      <c r="E57" s="300"/>
      <c r="F57" s="300"/>
      <c r="G57" s="300"/>
      <c r="H57" s="300"/>
      <c r="I57" s="343" t="s">
        <v>943</v>
      </c>
      <c r="J57" s="274"/>
      <c r="K57" s="274"/>
      <c r="L57" s="359">
        <f t="shared" si="18"/>
        <v>1</v>
      </c>
      <c r="M57" s="362">
        <f t="shared" si="19"/>
        <v>1900</v>
      </c>
      <c r="N57" s="300"/>
      <c r="O57" s="300"/>
      <c r="P57" s="300"/>
      <c r="Q57" s="300"/>
      <c r="R57" s="300"/>
      <c r="S57" s="300"/>
      <c r="T57" s="303"/>
      <c r="U57" s="303"/>
      <c r="V57" s="344" t="str">
        <f t="shared" si="20"/>
        <v/>
      </c>
      <c r="W57" s="339"/>
      <c r="X57" s="363">
        <f>IF(W57&gt;0,W57*0.0036*IF(OR(T57&gt;$J$57,U57&lt;$K$57), 0, IF(T57&lt;$J$57,U57-$J$57,IF($K$57&lt;U57,U57-$K$57,V57)))/V57,0)</f>
        <v>0</v>
      </c>
      <c r="Y57" s="346" t="e" cm="1">
        <f t="array" ref="Y57">IF('Pathway B benchmarks'!C61,INDEX('Pathway B benchmarks'!C61:C63,MATCH(1,($I$7='Pathway B benchmarks'!A61:A63)*($M$57='Pathway B benchmarks'!B61:B63),0),1))</f>
        <v>#N/A</v>
      </c>
      <c r="Z57" s="347" t="e">
        <f t="shared" si="4"/>
        <v>#N/A</v>
      </c>
      <c r="AA57" s="303"/>
      <c r="AB57" s="303"/>
      <c r="AC57" s="344" t="str">
        <f t="shared" si="5"/>
        <v/>
      </c>
      <c r="AD57" s="339"/>
      <c r="AE57" s="364">
        <f>IF(AD57&gt;0,AD57*0.001*IF(OR(AA57&gt;$J$57,AB57&lt;$K$57), 0, IF(AA57&lt;$J$57,AB57-$J$57,IF($K$57&lt;AB57,AB57-$K$57,AC57)))/AC57,0)</f>
        <v>0</v>
      </c>
      <c r="AF57" s="348" t="e" cm="1">
        <f t="array" ref="AF57">IF('Pathway B benchmarks'!F39,INDEX('Pathway B benchmarks'!F39:F56,MATCH(1,($AE$6='Pathway B benchmarks'!A39:A56)*($M$57='Pathway B benchmarks'!B39:B56),0),1))</f>
        <v>#N/A</v>
      </c>
      <c r="AG57" s="349">
        <f t="shared" si="6"/>
        <v>0</v>
      </c>
      <c r="AH57" s="303"/>
      <c r="AI57" s="303"/>
      <c r="AJ57" s="344" t="str">
        <f t="shared" si="7"/>
        <v/>
      </c>
      <c r="AK57" s="339"/>
      <c r="AL57" s="363">
        <f>IF(AK57&gt;0,AK57*26.2*IF(OR(AH57&gt;$J$57,AI57&lt;$K$57), 0, IF(AH57&lt;$J$57,AI57-$J$57,IF($K$57&lt;AI57,AI57-$K$57,AJ57)))/AJ57,0)</f>
        <v>0</v>
      </c>
      <c r="AM57" s="345" t="e" cm="1">
        <f t="array" ref="AM57">IF('Pathway B benchmarks'!F39,INDEX('Pathway B benchmarks'!F39:F56,MATCH(1,($AL$6='Pathway B benchmarks'!A39:A56)*($M$57='Pathway B benchmarks'!B39:B56),0),1))</f>
        <v>#N/A</v>
      </c>
      <c r="AN57" s="347">
        <f t="shared" si="21"/>
        <v>0</v>
      </c>
      <c r="AO57" s="303"/>
      <c r="AP57" s="303"/>
      <c r="AQ57" s="344" t="str">
        <f t="shared" si="22"/>
        <v/>
      </c>
      <c r="AR57" s="339"/>
      <c r="AS57" s="363">
        <f>IF(AR57&gt;0,AR57*38.6*IF(OR(AO57&gt;$J$57,AP57&lt;$K$57), 0, IF(AO57&lt;$J$57,AP57-$J$57,IF($K$57&lt;AP57,AP57-$K$57,AQ57)))/AQ57,0)</f>
        <v>0</v>
      </c>
      <c r="AT57" s="345" t="e" cm="1">
        <f t="array" ref="AT57">IF('Pathway B benchmarks'!F39,INDEX('Pathway B benchmarks'!F39:F56,MATCH(1,($AS$6='Pathway B benchmarks'!A39:A56)*($M$57='Pathway B benchmarks'!B39:B56),0),1))</f>
        <v>#N/A</v>
      </c>
      <c r="AU57" s="347">
        <f t="shared" si="23"/>
        <v>0</v>
      </c>
      <c r="AV57" s="347" t="e">
        <f>IF($I57="","",IF($I57="Custom",0,INDEX('Pathway B benchmarks'!$17:$18,MATCH($I57,'Pathway B benchmarks'!$A$17:$A$18,0),MATCH($S57,'Pathway B benchmarks'!$17:$17,0))))</f>
        <v>#N/A</v>
      </c>
      <c r="AW57" s="347" t="e">
        <f>IF($I57="","",IF($I57="Custom",0,INDEX('Pathway B benchmarks'!$30:$34,2,MATCH($S57,'Pathway B benchmarks'!$30:$30,0))))</f>
        <v>#N/A</v>
      </c>
      <c r="AX57" s="345" t="e">
        <f>IF($AW$57=0,1,$Q$57/$AW$57)*$AV$57</f>
        <v>#N/A</v>
      </c>
      <c r="AY57" s="353" t="e">
        <f>$AX$57/1000*$Y57/0.0036</f>
        <v>#N/A</v>
      </c>
      <c r="AZ57" s="353" t="e">
        <f>$AY$57/70*100</f>
        <v>#N/A</v>
      </c>
      <c r="BA57" s="353" t="e">
        <f t="shared" si="24"/>
        <v>#N/A</v>
      </c>
      <c r="BB57" s="350">
        <f t="shared" si="25"/>
        <v>0</v>
      </c>
      <c r="BC57" s="350" t="e">
        <f t="shared" si="26"/>
        <v>#N/A</v>
      </c>
      <c r="BD57" s="351">
        <f>IF(OR(E57="Whole Building", E57="Hotel", E57="School", E57="Data Centre (Whole facility)", E57="Residential Aged Care", E57="Retirement Living", E57="RAC and retirement (co-located)"),VLOOKUP(BB57,'Points Table'!$B$13:$C$36,2,TRUE),IF(OR(E57="Base Building", E57="Shopping Centre", E57="Apartment", E57="Warehouse and Cold Store", E57="Data Centre (Infrastructure)"),VLOOKUP(BB57,'Points Table'!$E$13:$F$33,2,TRUE),0))</f>
        <v>0</v>
      </c>
      <c r="BE57" s="352" t="str">
        <f>IF(AND($E$57="Whole Building", $BD$57&gt;=10), "YES", IF(AND($E$57="Base Building", $BD$57&gt;=8), "YES", "NO"))</f>
        <v>NO</v>
      </c>
    </row>
    <row r="58" spans="2:57">
      <c r="B58" s="300"/>
      <c r="C58" s="300"/>
      <c r="D58" s="300"/>
      <c r="E58" s="300"/>
      <c r="F58" s="300"/>
      <c r="G58" s="300"/>
      <c r="H58" s="300"/>
      <c r="I58" s="343" t="s">
        <v>943</v>
      </c>
      <c r="J58" s="274"/>
      <c r="K58" s="274"/>
      <c r="L58" s="359">
        <f t="shared" si="18"/>
        <v>1</v>
      </c>
      <c r="M58" s="362">
        <f t="shared" si="19"/>
        <v>1900</v>
      </c>
      <c r="N58" s="300"/>
      <c r="O58" s="300"/>
      <c r="P58" s="300"/>
      <c r="Q58" s="300"/>
      <c r="R58" s="300"/>
      <c r="S58" s="300"/>
      <c r="T58" s="303"/>
      <c r="U58" s="303"/>
      <c r="V58" s="344" t="str">
        <f t="shared" si="20"/>
        <v/>
      </c>
      <c r="W58" s="339"/>
      <c r="X58" s="363">
        <f>IF(W58&gt;0,W58*0.0036*IF(OR(T58&gt;$J$58,U58&lt;$K$58), 0, IF(T58&lt;$J$58,U58-$J$58,IF($K$58&lt;U58,U58-$K$58,V58)))/V58,0)</f>
        <v>0</v>
      </c>
      <c r="Y58" s="346" t="e" cm="1">
        <f t="array" ref="Y58">IF('Pathway B benchmarks'!C61,INDEX('Pathway B benchmarks'!C61:C63,MATCH(1,($I$7='Pathway B benchmarks'!A61:A63)*($M$58='Pathway B benchmarks'!B61:B63),0),1))</f>
        <v>#N/A</v>
      </c>
      <c r="Z58" s="347" t="e">
        <f t="shared" si="4"/>
        <v>#N/A</v>
      </c>
      <c r="AA58" s="303"/>
      <c r="AB58" s="303"/>
      <c r="AC58" s="344" t="str">
        <f t="shared" si="5"/>
        <v/>
      </c>
      <c r="AD58" s="339"/>
      <c r="AE58" s="364">
        <f>IF(AD58&gt;0,AD58*0.001*IF(OR(AA58&gt;$J$58,AB58&lt;$K$58), 0, IF(AA58&lt;$J$58,AB58-$J$58,IF($K$58&lt;AB58,AB58-$K$58,AC58)))/AC58,0)</f>
        <v>0</v>
      </c>
      <c r="AF58" s="348" t="e" cm="1">
        <f t="array" ref="AF58">IF('Pathway B benchmarks'!F39,INDEX('Pathway B benchmarks'!F39:F56,MATCH(1,($AE$6='Pathway B benchmarks'!A39:A56)*($M$58='Pathway B benchmarks'!B39:B56),0),1))</f>
        <v>#N/A</v>
      </c>
      <c r="AG58" s="349">
        <f t="shared" si="6"/>
        <v>0</v>
      </c>
      <c r="AH58" s="303"/>
      <c r="AI58" s="303"/>
      <c r="AJ58" s="344" t="str">
        <f t="shared" si="7"/>
        <v/>
      </c>
      <c r="AK58" s="339"/>
      <c r="AL58" s="363">
        <f>IF(AK58&gt;0,AK58*26.2*IF(OR(AH58&gt;$J$58,AI58&lt;$K$58), 0, IF(AH58&lt;$J$58,AI58-$J$58,IF($K$58&lt;AI58,AI58-$K$58,AJ58)))/AJ58,0)</f>
        <v>0</v>
      </c>
      <c r="AM58" s="345" t="e" cm="1">
        <f t="array" ref="AM58">IF('Pathway B benchmarks'!F39,INDEX('Pathway B benchmarks'!F39:F56,MATCH(1,($AL$6='Pathway B benchmarks'!A39:A56)*($M$58='Pathway B benchmarks'!B39:B56),0),1))</f>
        <v>#N/A</v>
      </c>
      <c r="AN58" s="347">
        <f t="shared" si="21"/>
        <v>0</v>
      </c>
      <c r="AO58" s="303"/>
      <c r="AP58" s="303"/>
      <c r="AQ58" s="344" t="str">
        <f t="shared" si="22"/>
        <v/>
      </c>
      <c r="AR58" s="339"/>
      <c r="AS58" s="363">
        <f>IF(AR58&gt;0,AR58*38.6*IF(OR(AO58&gt;$J$58,AP58&lt;$K$58), 0, IF(AO58&lt;$J$58,AP58-$J$58,IF($K$58&lt;AP58,AP58-$K$58,AQ58)))/AQ58,0)</f>
        <v>0</v>
      </c>
      <c r="AT58" s="345" t="e" cm="1">
        <f t="array" ref="AT58">IF('Pathway B benchmarks'!F39,INDEX('Pathway B benchmarks'!F39:F56,MATCH(1,($AS$6='Pathway B benchmarks'!A39:A56)*($M$58='Pathway B benchmarks'!B39:B56),0),1))</f>
        <v>#N/A</v>
      </c>
      <c r="AU58" s="347">
        <f t="shared" si="23"/>
        <v>0</v>
      </c>
      <c r="AV58" s="347" t="e">
        <f>IF($I58="","",IF($I58="Custom",0,INDEX('Pathway B benchmarks'!$17:$18,MATCH($I58,'Pathway B benchmarks'!$A$17:$A$18,0),MATCH($S58,'Pathway B benchmarks'!$17:$17,0))))</f>
        <v>#N/A</v>
      </c>
      <c r="AW58" s="347" t="e">
        <f>IF($I58="","",IF($I58="Custom",0,INDEX('Pathway B benchmarks'!$30:$34,2,MATCH($S58,'Pathway B benchmarks'!$30:$30,0))))</f>
        <v>#N/A</v>
      </c>
      <c r="AX58" s="345" t="e">
        <f>IF($AW$58=0,1,$Q$58/$AW$58)*$AV$58</f>
        <v>#N/A</v>
      </c>
      <c r="AY58" s="353" t="e">
        <f>$AX$58/1000*$Y58/0.0036</f>
        <v>#N/A</v>
      </c>
      <c r="AZ58" s="353" t="e">
        <f>$AY$58/70*100</f>
        <v>#N/A</v>
      </c>
      <c r="BA58" s="353" t="e">
        <f t="shared" si="24"/>
        <v>#N/A</v>
      </c>
      <c r="BB58" s="350">
        <f t="shared" si="25"/>
        <v>0</v>
      </c>
      <c r="BC58" s="350" t="e">
        <f t="shared" si="26"/>
        <v>#N/A</v>
      </c>
      <c r="BD58" s="351">
        <f>IF(OR(E58="Whole Building", E58="Hotel", E58="School", E58="Data Centre (Whole facility)", E58="Residential Aged Care", E58="Retirement Living", E58="RAC and retirement (co-located)"),VLOOKUP(BB58,'Points Table'!$B$13:$C$36,2,TRUE),IF(OR(E58="Base Building", E58="Shopping Centre", E58="Apartment", E58="Warehouse and Cold Store", E58="Data Centre (Infrastructure)"),VLOOKUP(BB58,'Points Table'!$E$13:$F$33,2,TRUE),0))</f>
        <v>0</v>
      </c>
      <c r="BE58" s="352" t="str">
        <f>IF(AND($E$58="Whole Building", $BD$58&gt;=10), "YES", IF(AND($E$58="Base Building", $BD$58&gt;=8), "YES", "NO"))</f>
        <v>NO</v>
      </c>
    </row>
    <row r="59" spans="2:57">
      <c r="B59" s="300"/>
      <c r="C59" s="300"/>
      <c r="D59" s="300"/>
      <c r="E59" s="300"/>
      <c r="F59" s="300"/>
      <c r="G59" s="300"/>
      <c r="H59" s="300"/>
      <c r="I59" s="343" t="s">
        <v>943</v>
      </c>
      <c r="J59" s="274"/>
      <c r="K59" s="274"/>
      <c r="L59" s="359">
        <f t="shared" si="18"/>
        <v>1</v>
      </c>
      <c r="M59" s="362">
        <f t="shared" si="19"/>
        <v>1900</v>
      </c>
      <c r="N59" s="300"/>
      <c r="O59" s="300"/>
      <c r="P59" s="300"/>
      <c r="Q59" s="300"/>
      <c r="R59" s="300"/>
      <c r="S59" s="300"/>
      <c r="T59" s="303"/>
      <c r="U59" s="303"/>
      <c r="V59" s="344" t="str">
        <f t="shared" si="20"/>
        <v/>
      </c>
      <c r="W59" s="339"/>
      <c r="X59" s="363">
        <f>IF(W59&gt;0,W59*0.0036*IF(OR(T59&gt;$J$59,U59&lt;$K$59), 0, IF(T59&lt;$J$59,U59-$J$59,IF($K$59&lt;U59,U59-$K$59,V59)))/V59,0)</f>
        <v>0</v>
      </c>
      <c r="Y59" s="346" t="e" cm="1">
        <f t="array" ref="Y59">IF('Pathway B benchmarks'!C61,INDEX('Pathway B benchmarks'!C61:C63,MATCH(1,($I$7='Pathway B benchmarks'!A61:A63)*($M$59='Pathway B benchmarks'!B61:B63),0),1))</f>
        <v>#N/A</v>
      </c>
      <c r="Z59" s="347" t="e">
        <f t="shared" si="4"/>
        <v>#N/A</v>
      </c>
      <c r="AA59" s="303"/>
      <c r="AB59" s="303"/>
      <c r="AC59" s="344" t="str">
        <f t="shared" si="5"/>
        <v/>
      </c>
      <c r="AD59" s="339"/>
      <c r="AE59" s="364">
        <f>IF(AD59&gt;0,AD59*0.001*IF(OR(AA59&gt;$J$59,AB59&lt;$K$59), 0, IF(AA59&lt;$J$59,AB59-$J$59,IF($K$59&lt;AB59,AB59-$K$59,AC59)))/AC59,0)</f>
        <v>0</v>
      </c>
      <c r="AF59" s="348" t="e" cm="1">
        <f t="array" ref="AF59">IF('Pathway B benchmarks'!F39,INDEX('Pathway B benchmarks'!F39:F56,MATCH(1,($AE$6='Pathway B benchmarks'!A39:A56)*($M$59='Pathway B benchmarks'!B39:B56),0),1))</f>
        <v>#N/A</v>
      </c>
      <c r="AG59" s="349">
        <f t="shared" si="6"/>
        <v>0</v>
      </c>
      <c r="AH59" s="303"/>
      <c r="AI59" s="303"/>
      <c r="AJ59" s="344" t="str">
        <f t="shared" si="7"/>
        <v/>
      </c>
      <c r="AK59" s="339"/>
      <c r="AL59" s="363">
        <f>IF(AK59&gt;0,AK59*26.2*IF(OR(AH59&gt;$J$59,AI59&lt;$K$59), 0, IF(AH59&lt;$J$59,AI59-$J$59,IF($K$59&lt;AI59,AI59-$K$59,AJ59)))/AJ59,0)</f>
        <v>0</v>
      </c>
      <c r="AM59" s="345" t="e" cm="1">
        <f t="array" ref="AM59">IF('Pathway B benchmarks'!F39,INDEX('Pathway B benchmarks'!F39:F56,MATCH(1,($AL$6='Pathway B benchmarks'!A39:A56)*($M$59='Pathway B benchmarks'!B39:B56),0),1))</f>
        <v>#N/A</v>
      </c>
      <c r="AN59" s="347">
        <f t="shared" si="21"/>
        <v>0</v>
      </c>
      <c r="AO59" s="303"/>
      <c r="AP59" s="303"/>
      <c r="AQ59" s="344" t="str">
        <f t="shared" si="22"/>
        <v/>
      </c>
      <c r="AR59" s="339"/>
      <c r="AS59" s="363">
        <f>IF(AR59&gt;0,AR59*38.6*IF(OR(AO59&gt;$J$59,AP59&lt;$K$59), 0, IF(AO59&lt;$J$59,AP59-$J$59,IF($K$59&lt;AP59,AP59-$K$59,AQ59)))/AQ59,0)</f>
        <v>0</v>
      </c>
      <c r="AT59" s="345" t="e" cm="1">
        <f t="array" ref="AT59">IF('Pathway B benchmarks'!F39,INDEX('Pathway B benchmarks'!F39:F56,MATCH(1,($AS$6='Pathway B benchmarks'!A39:A56)*($M$59='Pathway B benchmarks'!B39:B56),0),1))</f>
        <v>#N/A</v>
      </c>
      <c r="AU59" s="347">
        <f t="shared" si="23"/>
        <v>0</v>
      </c>
      <c r="AV59" s="347" t="e">
        <f>IF($I59="","",IF($I59="Custom",0,INDEX('Pathway B benchmarks'!$17:$18,MATCH($I59,'Pathway B benchmarks'!$A$17:$A$18,0),MATCH($S59,'Pathway B benchmarks'!$17:$17,0))))</f>
        <v>#N/A</v>
      </c>
      <c r="AW59" s="347" t="e">
        <f>IF($I59="","",IF($I59="Custom",0,INDEX('Pathway B benchmarks'!$30:$34,2,MATCH($S59,'Pathway B benchmarks'!$30:$30,0))))</f>
        <v>#N/A</v>
      </c>
      <c r="AX59" s="345" t="e">
        <f>IF($AW$59=0,1,$Q$59/$AW$59)*$AV$59</f>
        <v>#N/A</v>
      </c>
      <c r="AY59" s="353" t="e">
        <f>$AX$59/1000*$Y59/0.0036</f>
        <v>#N/A</v>
      </c>
      <c r="AZ59" s="353" t="e">
        <f>$AY$59/70*100</f>
        <v>#N/A</v>
      </c>
      <c r="BA59" s="353" t="e">
        <f t="shared" si="24"/>
        <v>#N/A</v>
      </c>
      <c r="BB59" s="350">
        <f t="shared" si="25"/>
        <v>0</v>
      </c>
      <c r="BC59" s="350" t="e">
        <f t="shared" si="26"/>
        <v>#N/A</v>
      </c>
      <c r="BD59" s="351">
        <f>IF(OR(E59="Whole Building", E59="Hotel", E59="School", E59="Data Centre (Whole facility)", E59="Residential Aged Care", E59="Retirement Living", E59="RAC and retirement (co-located)"),VLOOKUP(BB59,'Points Table'!$B$13:$C$36,2,TRUE),IF(OR(E59="Base Building", E59="Shopping Centre", E59="Apartment", E59="Warehouse and Cold Store", E59="Data Centre (Infrastructure)"),VLOOKUP(BB59,'Points Table'!$E$13:$F$33,2,TRUE),0))</f>
        <v>0</v>
      </c>
      <c r="BE59" s="352" t="str">
        <f>IF(AND($E$59="Whole Building", $BD$59&gt;=10), "YES", IF(AND($E$59="Base Building", $BD$59&gt;=8), "YES", "NO"))</f>
        <v>NO</v>
      </c>
    </row>
    <row r="60" spans="2:57">
      <c r="B60" s="300"/>
      <c r="C60" s="300"/>
      <c r="D60" s="300"/>
      <c r="E60" s="300"/>
      <c r="F60" s="300"/>
      <c r="G60" s="300"/>
      <c r="H60" s="300"/>
      <c r="I60" s="343" t="s">
        <v>943</v>
      </c>
      <c r="J60" s="274"/>
      <c r="K60" s="274"/>
      <c r="L60" s="359">
        <f t="shared" si="18"/>
        <v>1</v>
      </c>
      <c r="M60" s="362">
        <f t="shared" si="19"/>
        <v>1900</v>
      </c>
      <c r="N60" s="300"/>
      <c r="O60" s="300"/>
      <c r="P60" s="300"/>
      <c r="Q60" s="300"/>
      <c r="R60" s="300"/>
      <c r="S60" s="300"/>
      <c r="T60" s="303"/>
      <c r="U60" s="303"/>
      <c r="V60" s="344" t="str">
        <f t="shared" si="20"/>
        <v/>
      </c>
      <c r="W60" s="339"/>
      <c r="X60" s="363">
        <f>IF(W60&gt;0,W60*0.0036*IF(OR(T60&gt;$J$60,U60&lt;$K$60), 0, IF(T60&lt;$J$60,U60-$J$60,IF($K$60&lt;U60,U60-$K$60,V60)))/V60,0)</f>
        <v>0</v>
      </c>
      <c r="Y60" s="346" t="e" cm="1">
        <f t="array" ref="Y60">IF('Pathway B benchmarks'!C61,INDEX('Pathway B benchmarks'!C61:C63,MATCH(1,($I$7='Pathway B benchmarks'!A61:A63)*($M$60='Pathway B benchmarks'!B61:B63),0),1))</f>
        <v>#N/A</v>
      </c>
      <c r="Z60" s="347" t="e">
        <f t="shared" si="4"/>
        <v>#N/A</v>
      </c>
      <c r="AA60" s="303"/>
      <c r="AB60" s="303"/>
      <c r="AC60" s="344" t="str">
        <f t="shared" si="5"/>
        <v/>
      </c>
      <c r="AD60" s="339"/>
      <c r="AE60" s="364">
        <f>IF(AD60&gt;0,AD60*0.001*IF(OR(AA60&gt;$J$60,AB60&lt;$K$60), 0, IF(AA60&lt;$J$60,AB60-$J$60,IF($K$60&lt;AB60,AB60-$K$60,AC60)))/AC60,0)</f>
        <v>0</v>
      </c>
      <c r="AF60" s="348" t="e" cm="1">
        <f t="array" ref="AF60">IF('Pathway B benchmarks'!F39,INDEX('Pathway B benchmarks'!F39:F56,MATCH(1,($AE$6='Pathway B benchmarks'!A39:A56)*($M$60='Pathway B benchmarks'!B39:B56),0),1))</f>
        <v>#N/A</v>
      </c>
      <c r="AG60" s="349">
        <f t="shared" si="6"/>
        <v>0</v>
      </c>
      <c r="AH60" s="303"/>
      <c r="AI60" s="303"/>
      <c r="AJ60" s="344" t="str">
        <f t="shared" si="7"/>
        <v/>
      </c>
      <c r="AK60" s="339"/>
      <c r="AL60" s="363">
        <f>IF(AK60&gt;0,AK60*26.2*IF(OR(AH60&gt;$J$60,AI60&lt;$K$60), 0, IF(AH60&lt;$J$60,AI60-$J$60,IF($K$60&lt;AI60,AI60-$K$60,AJ60)))/AJ60,0)</f>
        <v>0</v>
      </c>
      <c r="AM60" s="345" t="e" cm="1">
        <f t="array" ref="AM60">IF('Pathway B benchmarks'!F39,INDEX('Pathway B benchmarks'!F39:F56,MATCH(1,($AL$6='Pathway B benchmarks'!A39:A56)*($M$60='Pathway B benchmarks'!B39:B56),0),1))</f>
        <v>#N/A</v>
      </c>
      <c r="AN60" s="347">
        <f t="shared" si="21"/>
        <v>0</v>
      </c>
      <c r="AO60" s="303"/>
      <c r="AP60" s="303"/>
      <c r="AQ60" s="344" t="str">
        <f t="shared" si="22"/>
        <v/>
      </c>
      <c r="AR60" s="339"/>
      <c r="AS60" s="363">
        <f>IF(AR60&gt;0,AR60*38.6*IF(OR(AO60&gt;$J$60,AP60&lt;$K$60), 0, IF(AO60&lt;$J$60,AP60-$J$60,IF($K$60&lt;AP60,AP60-$K$60,AQ60)))/AQ60,0)</f>
        <v>0</v>
      </c>
      <c r="AT60" s="345" t="e" cm="1">
        <f t="array" ref="AT60">IF('Pathway B benchmarks'!F39,INDEX('Pathway B benchmarks'!F39:F56,MATCH(1,($AS$6='Pathway B benchmarks'!A39:A56)*($M$60='Pathway B benchmarks'!B39:B56),0),1))</f>
        <v>#N/A</v>
      </c>
      <c r="AU60" s="347">
        <f t="shared" si="23"/>
        <v>0</v>
      </c>
      <c r="AV60" s="347" t="e">
        <f>IF($I60="","",IF($I60="Custom",0,INDEX('Pathway B benchmarks'!$17:$18,MATCH($I60,'Pathway B benchmarks'!$A$17:$A$18,0),MATCH($S60,'Pathway B benchmarks'!$17:$17,0))))</f>
        <v>#N/A</v>
      </c>
      <c r="AW60" s="347" t="e">
        <f>IF($I60="","",IF($I60="Custom",0,INDEX('Pathway B benchmarks'!$30:$34,2,MATCH($S60,'Pathway B benchmarks'!$30:$30,0))))</f>
        <v>#N/A</v>
      </c>
      <c r="AX60" s="345" t="e">
        <f>IF($AW$60=0,1,$Q$60/$AW$60)*$AV$60</f>
        <v>#N/A</v>
      </c>
      <c r="AY60" s="353" t="e">
        <f>$AX$60/1000*$Y60/0.0036</f>
        <v>#N/A</v>
      </c>
      <c r="AZ60" s="353" t="e">
        <f>$AY$60/70*100</f>
        <v>#N/A</v>
      </c>
      <c r="BA60" s="353" t="e">
        <f t="shared" si="24"/>
        <v>#N/A</v>
      </c>
      <c r="BB60" s="350">
        <f t="shared" si="25"/>
        <v>0</v>
      </c>
      <c r="BC60" s="350" t="e">
        <f t="shared" si="26"/>
        <v>#N/A</v>
      </c>
      <c r="BD60" s="351">
        <f>IF(OR(E60="Whole Building", E60="Hotel", E60="School", E60="Data Centre (Whole facility)", E60="Residential Aged Care", E60="Retirement Living", E60="RAC and retirement (co-located)"),VLOOKUP(BB60,'Points Table'!$B$13:$C$36,2,TRUE),IF(OR(E60="Base Building", E60="Shopping Centre", E60="Apartment", E60="Warehouse and Cold Store", E60="Data Centre (Infrastructure)"),VLOOKUP(BB60,'Points Table'!$E$13:$F$33,2,TRUE),0))</f>
        <v>0</v>
      </c>
      <c r="BE60" s="352" t="str">
        <f>IF(AND($E$60="Whole Building", $BD$60&gt;=10), "YES", IF(AND($E$60="Base Building", $BD$60&gt;=8), "YES", "NO"))</f>
        <v>NO</v>
      </c>
    </row>
    <row r="61" spans="2:57">
      <c r="B61" s="300"/>
      <c r="C61" s="300"/>
      <c r="D61" s="300"/>
      <c r="E61" s="300"/>
      <c r="F61" s="300"/>
      <c r="G61" s="300"/>
      <c r="H61" s="300"/>
      <c r="I61" s="343" t="s">
        <v>943</v>
      </c>
      <c r="J61" s="274"/>
      <c r="K61" s="274"/>
      <c r="L61" s="359">
        <f t="shared" si="18"/>
        <v>1</v>
      </c>
      <c r="M61" s="362">
        <f t="shared" si="19"/>
        <v>1900</v>
      </c>
      <c r="N61" s="300"/>
      <c r="O61" s="300"/>
      <c r="P61" s="300"/>
      <c r="Q61" s="300"/>
      <c r="R61" s="300"/>
      <c r="S61" s="300"/>
      <c r="T61" s="303"/>
      <c r="U61" s="303"/>
      <c r="V61" s="344" t="str">
        <f t="shared" si="20"/>
        <v/>
      </c>
      <c r="W61" s="339"/>
      <c r="X61" s="363">
        <f>IF(W61&gt;0,W61*0.0036*IF(OR(T61&gt;$J$61,U61&lt;$K$61), 0, IF(T61&lt;$J$61,U61-$J$61,IF($K$61&lt;U61,U61-$K$61,V61)))/V61,0)</f>
        <v>0</v>
      </c>
      <c r="Y61" s="346" t="e" cm="1">
        <f t="array" ref="Y61">IF('Pathway B benchmarks'!C61,INDEX('Pathway B benchmarks'!C61:C63,MATCH(1,($I$7='Pathway B benchmarks'!A61:A63)*($M$61='Pathway B benchmarks'!B61:B63),0),1))</f>
        <v>#N/A</v>
      </c>
      <c r="Z61" s="347" t="e">
        <f t="shared" si="4"/>
        <v>#N/A</v>
      </c>
      <c r="AA61" s="303"/>
      <c r="AB61" s="303"/>
      <c r="AC61" s="344" t="str">
        <f t="shared" si="5"/>
        <v/>
      </c>
      <c r="AD61" s="339"/>
      <c r="AE61" s="364">
        <f>IF(AD61&gt;0,AD61*0.001*IF(OR(AA61&gt;$J$61,AB61&lt;$K$61), 0, IF(AA61&lt;$J$61,AB61-$J$61,IF($K$61&lt;AB61,AB61-$K$61,AC61)))/AC61,0)</f>
        <v>0</v>
      </c>
      <c r="AF61" s="348" t="e" cm="1">
        <f t="array" ref="AF61">IF('Pathway B benchmarks'!F39,INDEX('Pathway B benchmarks'!F39:F56,MATCH(1,($AE$6='Pathway B benchmarks'!A39:A56)*($M$61='Pathway B benchmarks'!B39:B56),0),1))</f>
        <v>#N/A</v>
      </c>
      <c r="AG61" s="349">
        <f t="shared" si="6"/>
        <v>0</v>
      </c>
      <c r="AH61" s="303"/>
      <c r="AI61" s="303"/>
      <c r="AJ61" s="344" t="str">
        <f t="shared" si="7"/>
        <v/>
      </c>
      <c r="AK61" s="339"/>
      <c r="AL61" s="363">
        <f>IF(AK61&gt;0,AK61*26.2*IF(OR(AH61&gt;$J$61,AI61&lt;$K$61), 0, IF(AH61&lt;$J$61,AI61-$J$61,IF($K$61&lt;AI61,AI61-$K$61,AJ61)))/AJ61,0)</f>
        <v>0</v>
      </c>
      <c r="AM61" s="345" t="e" cm="1">
        <f t="array" ref="AM61">IF('Pathway B benchmarks'!F39,INDEX('Pathway B benchmarks'!F39:F56,MATCH(1,($AL$6='Pathway B benchmarks'!A39:A56)*($M$61='Pathway B benchmarks'!B39:B56),0),1))</f>
        <v>#N/A</v>
      </c>
      <c r="AN61" s="347">
        <f t="shared" si="21"/>
        <v>0</v>
      </c>
      <c r="AO61" s="303"/>
      <c r="AP61" s="303"/>
      <c r="AQ61" s="344" t="str">
        <f t="shared" si="22"/>
        <v/>
      </c>
      <c r="AR61" s="339"/>
      <c r="AS61" s="363">
        <f>IF(AR61&gt;0,AR61*38.6*IF(OR(AO61&gt;$J$61,AP61&lt;$K$61), 0, IF(AO61&lt;$J$61,AP61-$J$61,IF($K$61&lt;AP61,AP61-$K$61,AQ61)))/AQ61,0)</f>
        <v>0</v>
      </c>
      <c r="AT61" s="345" t="e" cm="1">
        <f t="array" ref="AT61">IF('Pathway B benchmarks'!F39,INDEX('Pathway B benchmarks'!F39:F56,MATCH(1,($AS$6='Pathway B benchmarks'!A39:A56)*($M$61='Pathway B benchmarks'!B39:B56),0),1))</f>
        <v>#N/A</v>
      </c>
      <c r="AU61" s="347">
        <f t="shared" si="23"/>
        <v>0</v>
      </c>
      <c r="AV61" s="347" t="e">
        <f>IF($I61="","",IF($I61="Custom",0,INDEX('Pathway B benchmarks'!$17:$18,MATCH($I61,'Pathway B benchmarks'!$A$17:$A$18,0),MATCH($S61,'Pathway B benchmarks'!$17:$17,0))))</f>
        <v>#N/A</v>
      </c>
      <c r="AW61" s="347" t="e">
        <f>IF($I61="","",IF($I61="Custom",0,INDEX('Pathway B benchmarks'!$30:$34,2,MATCH($S61,'Pathway B benchmarks'!$30:$30,0))))</f>
        <v>#N/A</v>
      </c>
      <c r="AX61" s="345" t="e">
        <f>IF($AW$61=0,1,$Q$61/$AW$61)*$AV$61</f>
        <v>#N/A</v>
      </c>
      <c r="AY61" s="353" t="e">
        <f>$AX$61/1000*$Y61/0.0036</f>
        <v>#N/A</v>
      </c>
      <c r="AZ61" s="353" t="e">
        <f>$AY$61/70*100</f>
        <v>#N/A</v>
      </c>
      <c r="BA61" s="353" t="e">
        <f t="shared" si="24"/>
        <v>#N/A</v>
      </c>
      <c r="BB61" s="350">
        <f t="shared" si="25"/>
        <v>0</v>
      </c>
      <c r="BC61" s="350" t="e">
        <f t="shared" si="26"/>
        <v>#N/A</v>
      </c>
      <c r="BD61" s="351">
        <f>IF(OR(E61="Whole Building", E61="Hotel", E61="School", E61="Data Centre (Whole facility)", E61="Residential Aged Care", E61="Retirement Living", E61="RAC and retirement (co-located)"),VLOOKUP(BB61,'Points Table'!$B$13:$C$36,2,TRUE),IF(OR(E61="Base Building", E61="Shopping Centre", E61="Apartment", E61="Warehouse and Cold Store", E61="Data Centre (Infrastructure)"),VLOOKUP(BB61,'Points Table'!$E$13:$F$33,2,TRUE),0))</f>
        <v>0</v>
      </c>
      <c r="BE61" s="352" t="str">
        <f>IF(AND($E$61="Whole Building", $BD$61&gt;=10), "YES", IF(AND($E$61="Base Building", $BD$61&gt;=8), "YES", "NO"))</f>
        <v>NO</v>
      </c>
    </row>
    <row r="62" spans="2:57">
      <c r="B62" s="300"/>
      <c r="C62" s="300"/>
      <c r="D62" s="300"/>
      <c r="E62" s="300"/>
      <c r="F62" s="300"/>
      <c r="G62" s="300"/>
      <c r="H62" s="300"/>
      <c r="I62" s="343" t="s">
        <v>943</v>
      </c>
      <c r="J62" s="274"/>
      <c r="K62" s="274"/>
      <c r="L62" s="359">
        <f t="shared" si="18"/>
        <v>1</v>
      </c>
      <c r="M62" s="362">
        <f t="shared" si="19"/>
        <v>1900</v>
      </c>
      <c r="N62" s="300"/>
      <c r="O62" s="300"/>
      <c r="P62" s="300"/>
      <c r="Q62" s="300"/>
      <c r="R62" s="300"/>
      <c r="S62" s="300"/>
      <c r="T62" s="303"/>
      <c r="U62" s="303"/>
      <c r="V62" s="344" t="str">
        <f t="shared" si="20"/>
        <v/>
      </c>
      <c r="W62" s="339"/>
      <c r="X62" s="363">
        <f>IF(W62&gt;0,W62*0.0036*IF(OR(T62&gt;$J$62,U62&lt;$K$62), 0, IF(T62&lt;$J$62,U62-$J$62,IF($K$62&lt;U62,U62-$K$62,V62)))/V62,0)</f>
        <v>0</v>
      </c>
      <c r="Y62" s="346" t="e" cm="1">
        <f t="array" ref="Y62">IF('Pathway B benchmarks'!C61,INDEX('Pathway B benchmarks'!C61:C63,MATCH(1,($I$7='Pathway B benchmarks'!A61:A63)*($M$62='Pathway B benchmarks'!B61:B63),0),1))</f>
        <v>#N/A</v>
      </c>
      <c r="Z62" s="347" t="e">
        <f t="shared" si="4"/>
        <v>#N/A</v>
      </c>
      <c r="AA62" s="303"/>
      <c r="AB62" s="303"/>
      <c r="AC62" s="344" t="str">
        <f t="shared" si="5"/>
        <v/>
      </c>
      <c r="AD62" s="339"/>
      <c r="AE62" s="364">
        <f>IF(AD62&gt;0,AD62*0.001*IF(OR(AA62&gt;$J$62,AB62&lt;$K$62), 0, IF(AA62&lt;$J$62,AB62-$J$62,IF($K$62&lt;AB62,AB62-$K$62,AC62)))/AC62,0)</f>
        <v>0</v>
      </c>
      <c r="AF62" s="348" t="e" cm="1">
        <f t="array" ref="AF62">IF('Pathway B benchmarks'!F39,INDEX('Pathway B benchmarks'!F39:F56,MATCH(1,($AE$6='Pathway B benchmarks'!A39:A56)*($M$62='Pathway B benchmarks'!B39:B56),0),1))</f>
        <v>#N/A</v>
      </c>
      <c r="AG62" s="349">
        <f t="shared" si="6"/>
        <v>0</v>
      </c>
      <c r="AH62" s="303"/>
      <c r="AI62" s="303"/>
      <c r="AJ62" s="344" t="str">
        <f t="shared" si="7"/>
        <v/>
      </c>
      <c r="AK62" s="339"/>
      <c r="AL62" s="363">
        <f>IF(AK62&gt;0,AK62*26.2*IF(OR(AH62&gt;$J$62,AI62&lt;$K$62), 0, IF(AH62&lt;$J$62,AI62-$J$62,IF($K$62&lt;AI62,AI62-$K$62,AJ62)))/AJ62,0)</f>
        <v>0</v>
      </c>
      <c r="AM62" s="345" t="e" cm="1">
        <f t="array" ref="AM62">IF('Pathway B benchmarks'!F39,INDEX('Pathway B benchmarks'!F39:F56,MATCH(1,($AL$6='Pathway B benchmarks'!A39:A56)*($M$62='Pathway B benchmarks'!B39:B56),0),1))</f>
        <v>#N/A</v>
      </c>
      <c r="AN62" s="347">
        <f t="shared" si="21"/>
        <v>0</v>
      </c>
      <c r="AO62" s="303"/>
      <c r="AP62" s="303"/>
      <c r="AQ62" s="344" t="str">
        <f t="shared" si="22"/>
        <v/>
      </c>
      <c r="AR62" s="339"/>
      <c r="AS62" s="363">
        <f>IF(AR62&gt;0,AR62*38.6*IF(OR(AO62&gt;$J$62,AP62&lt;$K$62), 0, IF(AO62&lt;$J$62,AP62-$J$62,IF($K$62&lt;AP62,AP62-$K$62,AQ62)))/AQ62,0)</f>
        <v>0</v>
      </c>
      <c r="AT62" s="345" t="e" cm="1">
        <f t="array" ref="AT62">IF('Pathway B benchmarks'!F39,INDEX('Pathway B benchmarks'!F39:F56,MATCH(1,($AS$6='Pathway B benchmarks'!A39:A56)*($M$62='Pathway B benchmarks'!B39:B56),0),1))</f>
        <v>#N/A</v>
      </c>
      <c r="AU62" s="347">
        <f t="shared" si="23"/>
        <v>0</v>
      </c>
      <c r="AV62" s="347" t="e">
        <f>IF($I62="","",IF($I62="Custom",0,INDEX('Pathway B benchmarks'!$17:$18,MATCH($I62,'Pathway B benchmarks'!$A$17:$A$18,0),MATCH($S62,'Pathway B benchmarks'!$17:$17,0))))</f>
        <v>#N/A</v>
      </c>
      <c r="AW62" s="347" t="e">
        <f>IF($I62="","",IF($I62="Custom",0,INDEX('Pathway B benchmarks'!$30:$34,2,MATCH($S62,'Pathway B benchmarks'!$30:$30,0))))</f>
        <v>#N/A</v>
      </c>
      <c r="AX62" s="345" t="e">
        <f>IF($AW$62=0,1,$Q$62/$AW$62)*$AV$62</f>
        <v>#N/A</v>
      </c>
      <c r="AY62" s="353" t="e">
        <f>$AX$62/1000*$Y62/0.0036</f>
        <v>#N/A</v>
      </c>
      <c r="AZ62" s="353" t="e">
        <f>$AY$62/70*100</f>
        <v>#N/A</v>
      </c>
      <c r="BA62" s="353" t="e">
        <f t="shared" si="24"/>
        <v>#N/A</v>
      </c>
      <c r="BB62" s="350">
        <f t="shared" si="25"/>
        <v>0</v>
      </c>
      <c r="BC62" s="350" t="e">
        <f t="shared" si="26"/>
        <v>#N/A</v>
      </c>
      <c r="BD62" s="351">
        <f>IF(OR(E62="Whole Building", E62="Hotel", E62="School", E62="Data Centre (Whole facility)", E62="Residential Aged Care", E62="Retirement Living", E62="RAC and retirement (co-located)"),VLOOKUP(BB62,'Points Table'!$B$13:$C$36,2,TRUE),IF(OR(E62="Base Building", E62="Shopping Centre", E62="Apartment", E62="Warehouse and Cold Store", E62="Data Centre (Infrastructure)"),VLOOKUP(BB62,'Points Table'!$E$13:$F$33,2,TRUE),0))</f>
        <v>0</v>
      </c>
      <c r="BE62" s="352" t="str">
        <f>IF(AND($E$62="Whole Building", $BD$62&gt;=10), "YES", IF(AND($E$62="Base Building", $BD$62&gt;=8), "YES", "NO"))</f>
        <v>NO</v>
      </c>
    </row>
    <row r="63" spans="2:57">
      <c r="B63" s="300"/>
      <c r="C63" s="300"/>
      <c r="D63" s="300"/>
      <c r="E63" s="300"/>
      <c r="F63" s="300"/>
      <c r="G63" s="300"/>
      <c r="H63" s="300"/>
      <c r="I63" s="343" t="s">
        <v>943</v>
      </c>
      <c r="J63" s="274"/>
      <c r="K63" s="274"/>
      <c r="L63" s="359">
        <f t="shared" si="18"/>
        <v>1</v>
      </c>
      <c r="M63" s="362">
        <f t="shared" si="19"/>
        <v>1900</v>
      </c>
      <c r="N63" s="300"/>
      <c r="O63" s="300"/>
      <c r="P63" s="300"/>
      <c r="Q63" s="300"/>
      <c r="R63" s="300"/>
      <c r="S63" s="300"/>
      <c r="T63" s="303"/>
      <c r="U63" s="303"/>
      <c r="V63" s="344" t="str">
        <f t="shared" si="20"/>
        <v/>
      </c>
      <c r="W63" s="339"/>
      <c r="X63" s="363">
        <f>IF(W63&gt;0,W63*0.0036*IF(OR(T63&gt;$J$63,U63&lt;$K$63), 0, IF(T63&lt;$J$63,U63-$J$63,IF($K$63&lt;U63,U63-$K$63,V63)))/V63,0)</f>
        <v>0</v>
      </c>
      <c r="Y63" s="346" t="e" cm="1">
        <f t="array" ref="Y63">IF('Pathway B benchmarks'!C61,INDEX('Pathway B benchmarks'!C61:C63,MATCH(1,($I$7='Pathway B benchmarks'!A61:A63)*($M$63='Pathway B benchmarks'!B61:B63),0),1))</f>
        <v>#N/A</v>
      </c>
      <c r="Z63" s="347" t="e">
        <f t="shared" si="4"/>
        <v>#N/A</v>
      </c>
      <c r="AA63" s="303"/>
      <c r="AB63" s="303"/>
      <c r="AC63" s="344" t="str">
        <f t="shared" si="5"/>
        <v/>
      </c>
      <c r="AD63" s="339"/>
      <c r="AE63" s="364">
        <f>IF(AD63&gt;0,AD63*0.001*IF(OR(AA63&gt;$J$63,AB63&lt;$K$63), 0, IF(AA63&lt;$J$63,AB63-$J$63,IF($K$63&lt;AB63,AB63-$K$63,AC63)))/AC63,0)</f>
        <v>0</v>
      </c>
      <c r="AF63" s="348" t="e" cm="1">
        <f t="array" ref="AF63">IF('Pathway B benchmarks'!F39,INDEX('Pathway B benchmarks'!F39:F56,MATCH(1,($AE$6='Pathway B benchmarks'!A39:A56)*($M$63='Pathway B benchmarks'!B39:B56),0),1))</f>
        <v>#N/A</v>
      </c>
      <c r="AG63" s="349">
        <f t="shared" si="6"/>
        <v>0</v>
      </c>
      <c r="AH63" s="303"/>
      <c r="AI63" s="303"/>
      <c r="AJ63" s="344" t="str">
        <f t="shared" si="7"/>
        <v/>
      </c>
      <c r="AK63" s="339"/>
      <c r="AL63" s="363">
        <f>IF(AK63&gt;0,AK63*26.2*IF(OR(AH63&gt;$J$63,AI63&lt;$K$63), 0, IF(AH63&lt;$J$63,AI63-$J$63,IF($K$63&lt;AI63,AI63-$K$63,AJ63)))/AJ63,0)</f>
        <v>0</v>
      </c>
      <c r="AM63" s="345" t="e" cm="1">
        <f t="array" ref="AM63">IF('Pathway B benchmarks'!F39,INDEX('Pathway B benchmarks'!F39:F56,MATCH(1,($AL$6='Pathway B benchmarks'!A39:A56)*($M$63='Pathway B benchmarks'!B39:B56),0),1))</f>
        <v>#N/A</v>
      </c>
      <c r="AN63" s="347">
        <f t="shared" si="21"/>
        <v>0</v>
      </c>
      <c r="AO63" s="303"/>
      <c r="AP63" s="303"/>
      <c r="AQ63" s="344" t="str">
        <f t="shared" si="22"/>
        <v/>
      </c>
      <c r="AR63" s="339"/>
      <c r="AS63" s="363">
        <f>IF(AR63&gt;0,AR63*38.6*IF(OR(AO63&gt;$J$63,AP63&lt;$K$63), 0, IF(AO63&lt;$J$63,AP63-$J$63,IF($K$63&lt;AP63,AP63-$K$63,AQ63)))/AQ63,0)</f>
        <v>0</v>
      </c>
      <c r="AT63" s="345" t="e" cm="1">
        <f t="array" ref="AT63">IF('Pathway B benchmarks'!F39,INDEX('Pathway B benchmarks'!F39:F56,MATCH(1,($AS$6='Pathway B benchmarks'!A39:A56)*($M$63='Pathway B benchmarks'!B39:B56),0),1))</f>
        <v>#N/A</v>
      </c>
      <c r="AU63" s="347">
        <f t="shared" si="23"/>
        <v>0</v>
      </c>
      <c r="AV63" s="347" t="e">
        <f>IF($I63="","",IF($I63="Custom",0,INDEX('Pathway B benchmarks'!$17:$18,MATCH($I63,'Pathway B benchmarks'!$A$17:$A$18,0),MATCH($S63,'Pathway B benchmarks'!$17:$17,0))))</f>
        <v>#N/A</v>
      </c>
      <c r="AW63" s="347" t="e">
        <f>IF($I63="","",IF($I63="Custom",0,INDEX('Pathway B benchmarks'!$30:$34,2,MATCH($S63,'Pathway B benchmarks'!$30:$30,0))))</f>
        <v>#N/A</v>
      </c>
      <c r="AX63" s="345" t="e">
        <f>IF($AW$63=0,1,$Q$63/$AW$63)*$AV$63</f>
        <v>#N/A</v>
      </c>
      <c r="AY63" s="353" t="e">
        <f>$AX$63/1000*$Y63/0.0036</f>
        <v>#N/A</v>
      </c>
      <c r="AZ63" s="353" t="e">
        <f>$AY$63/70*100</f>
        <v>#N/A</v>
      </c>
      <c r="BA63" s="353" t="e">
        <f t="shared" si="24"/>
        <v>#N/A</v>
      </c>
      <c r="BB63" s="350">
        <f t="shared" si="25"/>
        <v>0</v>
      </c>
      <c r="BC63" s="350" t="e">
        <f t="shared" si="26"/>
        <v>#N/A</v>
      </c>
      <c r="BD63" s="351">
        <f>IF(OR(E63="Whole Building", E63="Hotel", E63="School", E63="Data Centre (Whole facility)", E63="Residential Aged Care", E63="Retirement Living", E63="RAC and retirement (co-located)"),VLOOKUP(BB63,'Points Table'!$B$13:$C$36,2,TRUE),IF(OR(E63="Base Building", E63="Shopping Centre", E63="Apartment", E63="Warehouse and Cold Store", E63="Data Centre (Infrastructure)"),VLOOKUP(BB63,'Points Table'!$E$13:$F$33,2,TRUE),0))</f>
        <v>0</v>
      </c>
      <c r="BE63" s="352" t="str">
        <f>IF(AND($E$63="Whole Building", $BD$63&gt;=10), "YES", IF(AND($E$63="Base Building", $BD$63&gt;=8), "YES", "NO"))</f>
        <v>NO</v>
      </c>
    </row>
    <row r="64" spans="2:57">
      <c r="B64" s="300"/>
      <c r="C64" s="300"/>
      <c r="D64" s="300"/>
      <c r="E64" s="300"/>
      <c r="F64" s="300"/>
      <c r="G64" s="300"/>
      <c r="H64" s="300"/>
      <c r="I64" s="343" t="s">
        <v>943</v>
      </c>
      <c r="J64" s="274"/>
      <c r="K64" s="274"/>
      <c r="L64" s="359">
        <f t="shared" si="18"/>
        <v>1</v>
      </c>
      <c r="M64" s="362">
        <f t="shared" si="19"/>
        <v>1900</v>
      </c>
      <c r="N64" s="300"/>
      <c r="O64" s="300"/>
      <c r="P64" s="300"/>
      <c r="Q64" s="300"/>
      <c r="R64" s="300"/>
      <c r="S64" s="300"/>
      <c r="T64" s="303"/>
      <c r="U64" s="303"/>
      <c r="V64" s="344" t="str">
        <f t="shared" si="20"/>
        <v/>
      </c>
      <c r="W64" s="339"/>
      <c r="X64" s="363">
        <f>IF(W64&gt;0,W64*0.0036*IF(OR(T64&gt;$J$64,U64&lt;$K$64), 0, IF(T64&lt;$J$64,U64-$J$64,IF($K$64&lt;U64,U64-$K$64,V64)))/V64,0)</f>
        <v>0</v>
      </c>
      <c r="Y64" s="346" t="e" cm="1">
        <f t="array" ref="Y64">IF('Pathway B benchmarks'!C61,INDEX('Pathway B benchmarks'!C61:C63,MATCH(1,($I$7='Pathway B benchmarks'!A61:A63)*($M$64='Pathway B benchmarks'!B61:B63),0),1))</f>
        <v>#N/A</v>
      </c>
      <c r="Z64" s="347" t="e">
        <f t="shared" si="4"/>
        <v>#N/A</v>
      </c>
      <c r="AA64" s="303"/>
      <c r="AB64" s="303"/>
      <c r="AC64" s="344" t="str">
        <f t="shared" si="5"/>
        <v/>
      </c>
      <c r="AD64" s="339"/>
      <c r="AE64" s="364">
        <f>IF(AD64&gt;0,AD64*0.001*IF(OR(AA64&gt;$J$64,AB64&lt;$K$64), 0, IF(AA64&lt;$J$64,AB64-$J$64,IF($K$64&lt;AB64,AB64-$K$64,AC64)))/AC64,0)</f>
        <v>0</v>
      </c>
      <c r="AF64" s="348" t="e" cm="1">
        <f t="array" ref="AF64">IF('Pathway B benchmarks'!F39,INDEX('Pathway B benchmarks'!F39:F56,MATCH(1,($AE$6='Pathway B benchmarks'!A39:A56)*($M$64='Pathway B benchmarks'!B39:B56),0),1))</f>
        <v>#N/A</v>
      </c>
      <c r="AG64" s="349">
        <f t="shared" si="6"/>
        <v>0</v>
      </c>
      <c r="AH64" s="303"/>
      <c r="AI64" s="303"/>
      <c r="AJ64" s="344" t="str">
        <f t="shared" si="7"/>
        <v/>
      </c>
      <c r="AK64" s="339"/>
      <c r="AL64" s="363">
        <f>IF(AK64&gt;0,AK64*26.2*IF(OR(AH64&gt;$J$64,AI64&lt;$K$64), 0, IF(AH64&lt;$J$64,AI64-$J$64,IF($K$64&lt;AI64,AI64-$K$64,AJ64)))/AJ64,0)</f>
        <v>0</v>
      </c>
      <c r="AM64" s="345" t="e" cm="1">
        <f t="array" ref="AM64">IF('Pathway B benchmarks'!F39,INDEX('Pathway B benchmarks'!F39:F56,MATCH(1,($AL$6='Pathway B benchmarks'!A39:A56)*($M$64='Pathway B benchmarks'!B39:B56),0),1))</f>
        <v>#N/A</v>
      </c>
      <c r="AN64" s="347">
        <f t="shared" si="21"/>
        <v>0</v>
      </c>
      <c r="AO64" s="303"/>
      <c r="AP64" s="303"/>
      <c r="AQ64" s="344" t="str">
        <f t="shared" si="22"/>
        <v/>
      </c>
      <c r="AR64" s="339"/>
      <c r="AS64" s="363">
        <f>IF(AR64&gt;0,AR64*38.6*IF(OR(AO64&gt;$J$64,AP64&lt;$K$64), 0, IF(AO64&lt;$J$64,AP64-$J$64,IF($K$64&lt;AP64,AP64-$K$64,AQ64)))/AQ64,0)</f>
        <v>0</v>
      </c>
      <c r="AT64" s="345" t="e" cm="1">
        <f t="array" ref="AT64">IF('Pathway B benchmarks'!F39,INDEX('Pathway B benchmarks'!F39:F56,MATCH(1,($AS$6='Pathway B benchmarks'!A39:A56)*($M$64='Pathway B benchmarks'!B39:B56),0),1))</f>
        <v>#N/A</v>
      </c>
      <c r="AU64" s="347">
        <f t="shared" si="23"/>
        <v>0</v>
      </c>
      <c r="AV64" s="347" t="e">
        <f>IF($I64="","",IF($I64="Custom",0,INDEX('Pathway B benchmarks'!$17:$18,MATCH($I64,'Pathway B benchmarks'!$A$17:$A$18,0),MATCH($S64,'Pathway B benchmarks'!$17:$17,0))))</f>
        <v>#N/A</v>
      </c>
      <c r="AW64" s="347" t="e">
        <f>IF($I64="","",IF($I64="Custom",0,INDEX('Pathway B benchmarks'!$30:$34,2,MATCH($S64,'Pathway B benchmarks'!$30:$30,0))))</f>
        <v>#N/A</v>
      </c>
      <c r="AX64" s="345" t="e">
        <f>IF($AW$64=0,1,$Q$64/$AW$64)*$AV$64</f>
        <v>#N/A</v>
      </c>
      <c r="AY64" s="353" t="e">
        <f>$AX$64/1000*$Y64/0.0036</f>
        <v>#N/A</v>
      </c>
      <c r="AZ64" s="353" t="e">
        <f>$AY$64/70*100</f>
        <v>#N/A</v>
      </c>
      <c r="BA64" s="353" t="e">
        <f t="shared" si="24"/>
        <v>#N/A</v>
      </c>
      <c r="BB64" s="350">
        <f t="shared" si="25"/>
        <v>0</v>
      </c>
      <c r="BC64" s="350" t="e">
        <f t="shared" si="26"/>
        <v>#N/A</v>
      </c>
      <c r="BD64" s="351">
        <f>IF(OR(E64="Whole Building", E64="Hotel", E64="School", E64="Data Centre (Whole facility)", E64="Residential Aged Care", E64="Retirement Living", E64="RAC and retirement (co-located)"),VLOOKUP(BB64,'Points Table'!$B$13:$C$36,2,TRUE),IF(OR(E64="Base Building", E64="Shopping Centre", E64="Apartment", E64="Warehouse and Cold Store", E64="Data Centre (Infrastructure)"),VLOOKUP(BB64,'Points Table'!$E$13:$F$33,2,TRUE),0))</f>
        <v>0</v>
      </c>
      <c r="BE64" s="352" t="str">
        <f>IF(AND($E$64="Whole Building", $BD$64&gt;=10), "YES", IF(AND($E$64="Base Building", $BD$64&gt;=8), "YES", "NO"))</f>
        <v>NO</v>
      </c>
    </row>
    <row r="65" spans="2:57">
      <c r="B65" s="300"/>
      <c r="C65" s="300"/>
      <c r="D65" s="300"/>
      <c r="E65" s="300"/>
      <c r="F65" s="300"/>
      <c r="G65" s="300"/>
      <c r="H65" s="300"/>
      <c r="I65" s="343" t="s">
        <v>943</v>
      </c>
      <c r="J65" s="274"/>
      <c r="K65" s="274"/>
      <c r="L65" s="359">
        <f t="shared" si="18"/>
        <v>1</v>
      </c>
      <c r="M65" s="362">
        <f t="shared" si="19"/>
        <v>1900</v>
      </c>
      <c r="N65" s="300"/>
      <c r="O65" s="300"/>
      <c r="P65" s="300"/>
      <c r="Q65" s="300"/>
      <c r="R65" s="300"/>
      <c r="S65" s="300"/>
      <c r="T65" s="303"/>
      <c r="U65" s="303"/>
      <c r="V65" s="344" t="str">
        <f t="shared" si="20"/>
        <v/>
      </c>
      <c r="W65" s="339"/>
      <c r="X65" s="363">
        <f>IF(W65&gt;0,W65*0.0036*IF(OR(T65&gt;$J$65,U65&lt;$K$65), 0, IF(T65&lt;$J$65,U65-$J$65,IF($K$65&lt;U65,U65-$K$65,V65)))/V65,0)</f>
        <v>0</v>
      </c>
      <c r="Y65" s="346" t="e" cm="1">
        <f t="array" ref="Y65">IF('Pathway B benchmarks'!C61,INDEX('Pathway B benchmarks'!C61:C63,MATCH(1,($I$7='Pathway B benchmarks'!A61:A63)*($M$65='Pathway B benchmarks'!B61:B63),0),1))</f>
        <v>#N/A</v>
      </c>
      <c r="Z65" s="347" t="e">
        <f t="shared" si="4"/>
        <v>#N/A</v>
      </c>
      <c r="AA65" s="303"/>
      <c r="AB65" s="303"/>
      <c r="AC65" s="344" t="str">
        <f t="shared" si="5"/>
        <v/>
      </c>
      <c r="AD65" s="339"/>
      <c r="AE65" s="364">
        <f>IF(AD65&gt;0,AD65*0.001*IF(OR(AA65&gt;$J$65,AB65&lt;$K$65), 0, IF(AA65&lt;$J$65,AB65-$J$65,IF($K$65&lt;AB65,AB65-$K$65,AC65)))/AC65,0)</f>
        <v>0</v>
      </c>
      <c r="AF65" s="348" t="e" cm="1">
        <f t="array" ref="AF65">IF('Pathway B benchmarks'!F39,INDEX('Pathway B benchmarks'!F39:F56,MATCH(1,($AE$6='Pathway B benchmarks'!A39:A56)*($M$65='Pathway B benchmarks'!B39:B56),0),1))</f>
        <v>#N/A</v>
      </c>
      <c r="AG65" s="349">
        <f t="shared" si="6"/>
        <v>0</v>
      </c>
      <c r="AH65" s="303"/>
      <c r="AI65" s="303"/>
      <c r="AJ65" s="344" t="str">
        <f t="shared" si="7"/>
        <v/>
      </c>
      <c r="AK65" s="339"/>
      <c r="AL65" s="363">
        <f>IF(AK65&gt;0,AK65*26.2*IF(OR(AH65&gt;$J$65,AI65&lt;$K$65), 0, IF(AH65&lt;$J$65,AI65-$J$65,IF($K$65&lt;AI65,AI65-$K$65,AJ65)))/AJ65,0)</f>
        <v>0</v>
      </c>
      <c r="AM65" s="345" t="e" cm="1">
        <f t="array" ref="AM65">IF('Pathway B benchmarks'!F39,INDEX('Pathway B benchmarks'!F39:F56,MATCH(1,($AL$6='Pathway B benchmarks'!A39:A56)*($M$65='Pathway B benchmarks'!B39:B56),0),1))</f>
        <v>#N/A</v>
      </c>
      <c r="AN65" s="347">
        <f t="shared" si="21"/>
        <v>0</v>
      </c>
      <c r="AO65" s="303"/>
      <c r="AP65" s="303"/>
      <c r="AQ65" s="344" t="str">
        <f t="shared" si="22"/>
        <v/>
      </c>
      <c r="AR65" s="339"/>
      <c r="AS65" s="363">
        <f>IF(AR65&gt;0,AR65*38.6*IF(OR(AO65&gt;$J$65,AP65&lt;$K$65), 0, IF(AO65&lt;$J$65,AP65-$J$65,IF($K$65&lt;AP65,AP65-$K$65,AQ65)))/AQ65,0)</f>
        <v>0</v>
      </c>
      <c r="AT65" s="345" t="e" cm="1">
        <f t="array" ref="AT65">IF('Pathway B benchmarks'!F39,INDEX('Pathway B benchmarks'!F39:F56,MATCH(1,($AS$6='Pathway B benchmarks'!A39:A56)*($M$65='Pathway B benchmarks'!B39:B56),0),1))</f>
        <v>#N/A</v>
      </c>
      <c r="AU65" s="347">
        <f t="shared" si="23"/>
        <v>0</v>
      </c>
      <c r="AV65" s="347" t="e">
        <f>IF($I65="","",IF($I65="Custom",0,INDEX('Pathway B benchmarks'!$17:$18,MATCH($I65,'Pathway B benchmarks'!$A$17:$A$18,0),MATCH($S65,'Pathway B benchmarks'!$17:$17,0))))</f>
        <v>#N/A</v>
      </c>
      <c r="AW65" s="347" t="e">
        <f>IF($I65="","",IF($I65="Custom",0,INDEX('Pathway B benchmarks'!$30:$34,2,MATCH($S65,'Pathway B benchmarks'!$30:$30,0))))</f>
        <v>#N/A</v>
      </c>
      <c r="AX65" s="345" t="e">
        <f>IF($AW$65=0,1,$Q$65/$AW$65)*$AV$65</f>
        <v>#N/A</v>
      </c>
      <c r="AY65" s="353" t="e">
        <f>$AX$65/1000*$Y65/0.0036</f>
        <v>#N/A</v>
      </c>
      <c r="AZ65" s="353" t="e">
        <f>$AY$65/70*100</f>
        <v>#N/A</v>
      </c>
      <c r="BA65" s="353" t="e">
        <f t="shared" si="24"/>
        <v>#N/A</v>
      </c>
      <c r="BB65" s="350">
        <f t="shared" si="25"/>
        <v>0</v>
      </c>
      <c r="BC65" s="350" t="e">
        <f t="shared" si="26"/>
        <v>#N/A</v>
      </c>
      <c r="BD65" s="351">
        <f>IF(OR(E65="Whole Building", E65="Hotel", E65="School", E65="Data Centre (Whole facility)", E65="Residential Aged Care", E65="Retirement Living", E65="RAC and retirement (co-located)"),VLOOKUP(BB65,'Points Table'!$B$13:$C$36,2,TRUE),IF(OR(E65="Base Building", E65="Shopping Centre", E65="Apartment", E65="Warehouse and Cold Store", E65="Data Centre (Infrastructure)"),VLOOKUP(BB65,'Points Table'!$E$13:$F$33,2,TRUE),0))</f>
        <v>0</v>
      </c>
      <c r="BE65" s="352" t="str">
        <f>IF(AND($E$65="Whole Building", $BD$65&gt;=10), "YES", IF(AND($E$65="Base Building", $BD$65&gt;=8), "YES", "NO"))</f>
        <v>NO</v>
      </c>
    </row>
    <row r="66" spans="2:57">
      <c r="B66" s="300"/>
      <c r="C66" s="300"/>
      <c r="D66" s="300"/>
      <c r="E66" s="300"/>
      <c r="F66" s="300"/>
      <c r="G66" s="300"/>
      <c r="H66" s="300"/>
      <c r="I66" s="343" t="s">
        <v>943</v>
      </c>
      <c r="J66" s="274"/>
      <c r="K66" s="274"/>
      <c r="L66" s="359">
        <f t="shared" si="18"/>
        <v>1</v>
      </c>
      <c r="M66" s="362">
        <f t="shared" si="19"/>
        <v>1900</v>
      </c>
      <c r="N66" s="300"/>
      <c r="O66" s="300"/>
      <c r="P66" s="300"/>
      <c r="Q66" s="300"/>
      <c r="R66" s="300"/>
      <c r="S66" s="300"/>
      <c r="T66" s="303"/>
      <c r="U66" s="303"/>
      <c r="V66" s="344" t="str">
        <f t="shared" si="20"/>
        <v/>
      </c>
      <c r="W66" s="339"/>
      <c r="X66" s="363">
        <f>IF(W66&gt;0,W66*0.0036*IF(OR(T66&gt;$J$66,U66&lt;$K$66), 0, IF(T66&lt;$J$66,U66-$J$66,IF($K$66&lt;U66,U66-$K$66,V66)))/V66,0)</f>
        <v>0</v>
      </c>
      <c r="Y66" s="346" t="e" cm="1">
        <f t="array" ref="Y66">IF('Pathway B benchmarks'!C61,INDEX('Pathway B benchmarks'!C61:C63,MATCH(1,($I$7='Pathway B benchmarks'!A61:A63)*($M$66='Pathway B benchmarks'!B61:B63),0),1))</f>
        <v>#N/A</v>
      </c>
      <c r="Z66" s="347" t="e">
        <f t="shared" si="4"/>
        <v>#N/A</v>
      </c>
      <c r="AA66" s="303"/>
      <c r="AB66" s="303"/>
      <c r="AC66" s="344" t="str">
        <f t="shared" si="5"/>
        <v/>
      </c>
      <c r="AD66" s="339"/>
      <c r="AE66" s="364">
        <f>IF(AD66&gt;0,AD66*0.001*IF(OR(AA66&gt;$J$66,AB66&lt;$K$66), 0, IF(AA66&lt;$J$66,AB66-$J$66,IF($K$66&lt;AB66,AB66-$K$66,AC66)))/AC66,0)</f>
        <v>0</v>
      </c>
      <c r="AF66" s="348" t="e" cm="1">
        <f t="array" ref="AF66">IF('Pathway B benchmarks'!F39,INDEX('Pathway B benchmarks'!F39:F56,MATCH(1,($AE$6='Pathway B benchmarks'!A39:A56)*($M$66='Pathway B benchmarks'!B39:B56),0),1))</f>
        <v>#N/A</v>
      </c>
      <c r="AG66" s="349">
        <f t="shared" si="6"/>
        <v>0</v>
      </c>
      <c r="AH66" s="303"/>
      <c r="AI66" s="303"/>
      <c r="AJ66" s="344" t="str">
        <f t="shared" si="7"/>
        <v/>
      </c>
      <c r="AK66" s="339"/>
      <c r="AL66" s="363">
        <f>IF(AK66&gt;0,AK66*26.2*IF(OR(AH66&gt;$J$66,AI66&lt;$K$66), 0, IF(AH66&lt;$J$66,AI66-$J$66,IF($K$66&lt;AI66,AI66-$K$66,AJ66)))/AJ66,0)</f>
        <v>0</v>
      </c>
      <c r="AM66" s="345" t="e" cm="1">
        <f t="array" ref="AM66">IF('Pathway B benchmarks'!F39,INDEX('Pathway B benchmarks'!F39:F56,MATCH(1,($AL$6='Pathway B benchmarks'!A39:A56)*($M$66='Pathway B benchmarks'!B39:B56),0),1))</f>
        <v>#N/A</v>
      </c>
      <c r="AN66" s="347">
        <f t="shared" si="21"/>
        <v>0</v>
      </c>
      <c r="AO66" s="303"/>
      <c r="AP66" s="303"/>
      <c r="AQ66" s="344" t="str">
        <f t="shared" si="22"/>
        <v/>
      </c>
      <c r="AR66" s="339"/>
      <c r="AS66" s="363">
        <f>IF(AR66&gt;0,AR66*38.6*IF(OR(AO66&gt;$J$66,AP66&lt;$K$66), 0, IF(AO66&lt;$J$66,AP66-$J$66,IF($K$66&lt;AP66,AP66-$K$66,AQ66)))/AQ66,0)</f>
        <v>0</v>
      </c>
      <c r="AT66" s="345" t="e" cm="1">
        <f t="array" ref="AT66">IF('Pathway B benchmarks'!F39,INDEX('Pathway B benchmarks'!F39:F56,MATCH(1,($AS$6='Pathway B benchmarks'!A39:A56)*($M$66='Pathway B benchmarks'!B39:B56),0),1))</f>
        <v>#N/A</v>
      </c>
      <c r="AU66" s="347">
        <f t="shared" si="23"/>
        <v>0</v>
      </c>
      <c r="AV66" s="347" t="e">
        <f>IF($I66="","",IF($I66="Custom",0,INDEX('Pathway B benchmarks'!$17:$18,MATCH($I66,'Pathway B benchmarks'!$A$17:$A$18,0),MATCH($S66,'Pathway B benchmarks'!$17:$17,0))))</f>
        <v>#N/A</v>
      </c>
      <c r="AW66" s="347" t="e">
        <f>IF($I66="","",IF($I66="Custom",0,INDEX('Pathway B benchmarks'!$30:$34,2,MATCH($S66,'Pathway B benchmarks'!$30:$30,0))))</f>
        <v>#N/A</v>
      </c>
      <c r="AX66" s="345" t="e">
        <f>IF($AW$66=0,1,$Q$66/$AW$66)*$AV$66</f>
        <v>#N/A</v>
      </c>
      <c r="AY66" s="353" t="e">
        <f>$AX$66/1000*$Y66/0.0036</f>
        <v>#N/A</v>
      </c>
      <c r="AZ66" s="353" t="e">
        <f>$AY$66/70*100</f>
        <v>#N/A</v>
      </c>
      <c r="BA66" s="353" t="e">
        <f t="shared" si="24"/>
        <v>#N/A</v>
      </c>
      <c r="BB66" s="350">
        <f t="shared" si="25"/>
        <v>0</v>
      </c>
      <c r="BC66" s="350" t="e">
        <f t="shared" si="26"/>
        <v>#N/A</v>
      </c>
      <c r="BD66" s="351">
        <f>IF(OR(E66="Whole Building", E66="Hotel", E66="School", E66="Data Centre (Whole facility)", E66="Residential Aged Care", E66="Retirement Living", E66="RAC and retirement (co-located)"),VLOOKUP(BB66,'Points Table'!$B$13:$C$36,2,TRUE),IF(OR(E66="Base Building", E66="Shopping Centre", E66="Apartment", E66="Warehouse and Cold Store", E66="Data Centre (Infrastructure)"),VLOOKUP(BB66,'Points Table'!$E$13:$F$33,2,TRUE),0))</f>
        <v>0</v>
      </c>
      <c r="BE66" s="352" t="str">
        <f>IF(AND($E$66="Whole Building", $BD$66&gt;=10), "YES", IF(AND($E$66="Base Building", $BD$66&gt;=8), "YES", "NO"))</f>
        <v>NO</v>
      </c>
    </row>
    <row r="67" spans="2:57">
      <c r="B67" s="300"/>
      <c r="C67" s="300"/>
      <c r="D67" s="300"/>
      <c r="E67" s="300"/>
      <c r="F67" s="300"/>
      <c r="G67" s="300"/>
      <c r="H67" s="300"/>
      <c r="I67" s="343" t="s">
        <v>943</v>
      </c>
      <c r="J67" s="274"/>
      <c r="K67" s="274"/>
      <c r="L67" s="359">
        <f t="shared" si="18"/>
        <v>1</v>
      </c>
      <c r="M67" s="362">
        <f t="shared" si="19"/>
        <v>1900</v>
      </c>
      <c r="N67" s="300"/>
      <c r="O67" s="300"/>
      <c r="P67" s="300"/>
      <c r="Q67" s="300"/>
      <c r="R67" s="300"/>
      <c r="S67" s="300"/>
      <c r="T67" s="303"/>
      <c r="U67" s="303"/>
      <c r="V67" s="344" t="str">
        <f t="shared" si="20"/>
        <v/>
      </c>
      <c r="W67" s="339"/>
      <c r="X67" s="363">
        <f>IF(W67&gt;0,W67*0.0036*IF(OR(T67&gt;$J$67,U67&lt;$K$67), 0, IF(T67&lt;$J$67,U67-$J$67,IF($K$67&lt;U67,U67-$K$67,V67)))/V67,0)</f>
        <v>0</v>
      </c>
      <c r="Y67" s="346" t="e" cm="1">
        <f t="array" ref="Y67">IF('Pathway B benchmarks'!C61,INDEX('Pathway B benchmarks'!C61:C63,MATCH(1,($I$7='Pathway B benchmarks'!A61:A63)*($M$67='Pathway B benchmarks'!B61:B63),0),1))</f>
        <v>#N/A</v>
      </c>
      <c r="Z67" s="347" t="e">
        <f t="shared" si="4"/>
        <v>#N/A</v>
      </c>
      <c r="AA67" s="303"/>
      <c r="AB67" s="303"/>
      <c r="AC67" s="344" t="str">
        <f t="shared" si="5"/>
        <v/>
      </c>
      <c r="AD67" s="339"/>
      <c r="AE67" s="364">
        <f>IF(AD67&gt;0,AD67*0.001*IF(OR(AA67&gt;$J$67,AB67&lt;$K$67), 0, IF(AA67&lt;$J$67,AB67-$J$67,IF($K$67&lt;AB67,AB67-$K$67,AC67)))/AC67,0)</f>
        <v>0</v>
      </c>
      <c r="AF67" s="348" t="e" cm="1">
        <f t="array" ref="AF67">IF('Pathway B benchmarks'!F39,INDEX('Pathway B benchmarks'!F39:F56,MATCH(1,($AE$6='Pathway B benchmarks'!A39:A56)*($M$67='Pathway B benchmarks'!B39:B56),0),1))</f>
        <v>#N/A</v>
      </c>
      <c r="AG67" s="349">
        <f t="shared" si="6"/>
        <v>0</v>
      </c>
      <c r="AH67" s="303"/>
      <c r="AI67" s="303"/>
      <c r="AJ67" s="344" t="str">
        <f t="shared" si="7"/>
        <v/>
      </c>
      <c r="AK67" s="339"/>
      <c r="AL67" s="363">
        <f>IF(AK67&gt;0,AK67*26.2*IF(OR(AH67&gt;$J$67,AI67&lt;$K$67), 0, IF(AH67&lt;$J$67,AI67-$J$67,IF($K$67&lt;AI67,AI67-$K$67,AJ67)))/AJ67,0)</f>
        <v>0</v>
      </c>
      <c r="AM67" s="345" t="e" cm="1">
        <f t="array" ref="AM67">IF('Pathway B benchmarks'!F39,INDEX('Pathway B benchmarks'!F39:F56,MATCH(1,($AL$6='Pathway B benchmarks'!A39:A56)*($M$67='Pathway B benchmarks'!B39:B56),0),1))</f>
        <v>#N/A</v>
      </c>
      <c r="AN67" s="347">
        <f t="shared" si="21"/>
        <v>0</v>
      </c>
      <c r="AO67" s="303"/>
      <c r="AP67" s="303"/>
      <c r="AQ67" s="344" t="str">
        <f t="shared" si="22"/>
        <v/>
      </c>
      <c r="AR67" s="339"/>
      <c r="AS67" s="363">
        <f>IF(AR67&gt;0,AR67*38.6*IF(OR(AO67&gt;$J$67,AP67&lt;$K$67), 0, IF(AO67&lt;$J$67,AP67-$J$67,IF($K$67&lt;AP67,AP67-$K$67,AQ67)))/AQ67,0)</f>
        <v>0</v>
      </c>
      <c r="AT67" s="345" t="e" cm="1">
        <f t="array" ref="AT67">IF('Pathway B benchmarks'!F39,INDEX('Pathway B benchmarks'!F39:F56,MATCH(1,($AS$6='Pathway B benchmarks'!A39:A56)*($M$67='Pathway B benchmarks'!B39:B56),0),1))</f>
        <v>#N/A</v>
      </c>
      <c r="AU67" s="347">
        <f t="shared" si="23"/>
        <v>0</v>
      </c>
      <c r="AV67" s="347" t="e">
        <f>IF($I67="","",IF($I67="Custom",0,INDEX('Pathway B benchmarks'!$17:$18,MATCH($I67,'Pathway B benchmarks'!$A$17:$A$18,0),MATCH($S67,'Pathway B benchmarks'!$17:$17,0))))</f>
        <v>#N/A</v>
      </c>
      <c r="AW67" s="347" t="e">
        <f>IF($I67="","",IF($I67="Custom",0,INDEX('Pathway B benchmarks'!$30:$34,2,MATCH($S67,'Pathway B benchmarks'!$30:$30,0))))</f>
        <v>#N/A</v>
      </c>
      <c r="AX67" s="345" t="e">
        <f>IF($AW$67=0,1,$Q$67/$AW$67)*$AV$67</f>
        <v>#N/A</v>
      </c>
      <c r="AY67" s="353" t="e">
        <f>$AX$67/1000*$Y67/0.0036</f>
        <v>#N/A</v>
      </c>
      <c r="AZ67" s="353" t="e">
        <f>$AY$67/70*100</f>
        <v>#N/A</v>
      </c>
      <c r="BA67" s="353" t="e">
        <f t="shared" si="24"/>
        <v>#N/A</v>
      </c>
      <c r="BB67" s="350">
        <f t="shared" si="25"/>
        <v>0</v>
      </c>
      <c r="BC67" s="350" t="e">
        <f t="shared" si="26"/>
        <v>#N/A</v>
      </c>
      <c r="BD67" s="351">
        <f>IF(OR(E67="Whole Building", E67="Hotel", E67="School", E67="Data Centre (Whole facility)", E67="Residential Aged Care", E67="Retirement Living", E67="RAC and retirement (co-located)"),VLOOKUP(BB67,'Points Table'!$B$13:$C$36,2,TRUE),IF(OR(E67="Base Building", E67="Shopping Centre", E67="Apartment", E67="Warehouse and Cold Store", E67="Data Centre (Infrastructure)"),VLOOKUP(BB67,'Points Table'!$E$13:$F$33,2,TRUE),0))</f>
        <v>0</v>
      </c>
      <c r="BE67" s="352" t="str">
        <f>IF(AND($E$67="Whole Building", $BD$67&gt;=10), "YES", IF(AND($E$67="Base Building", $BD$67&gt;=8), "YES", "NO"))</f>
        <v>NO</v>
      </c>
    </row>
    <row r="68" spans="2:57">
      <c r="B68" s="300"/>
      <c r="C68" s="300"/>
      <c r="D68" s="300"/>
      <c r="E68" s="300"/>
      <c r="F68" s="300"/>
      <c r="G68" s="300"/>
      <c r="H68" s="300"/>
      <c r="I68" s="343" t="s">
        <v>943</v>
      </c>
      <c r="J68" s="274"/>
      <c r="K68" s="274"/>
      <c r="L68" s="359">
        <f t="shared" si="18"/>
        <v>1</v>
      </c>
      <c r="M68" s="362">
        <f t="shared" si="19"/>
        <v>1900</v>
      </c>
      <c r="N68" s="300"/>
      <c r="O68" s="300"/>
      <c r="P68" s="300"/>
      <c r="Q68" s="300"/>
      <c r="R68" s="300"/>
      <c r="S68" s="300"/>
      <c r="T68" s="303"/>
      <c r="U68" s="303"/>
      <c r="V68" s="344" t="str">
        <f t="shared" si="20"/>
        <v/>
      </c>
      <c r="W68" s="339"/>
      <c r="X68" s="363">
        <f>IF(W68&gt;0,W68*0.0036*IF(OR(T68&gt;$J$68,U68&lt;$K$68), 0, IF(T68&lt;$J$68,U68-$J$68,IF($K$68&lt;U68,U68-$K$68,V68)))/V68,0)</f>
        <v>0</v>
      </c>
      <c r="Y68" s="346" t="e" cm="1">
        <f t="array" ref="Y68">IF('Pathway B benchmarks'!C61,INDEX('Pathway B benchmarks'!C61:C63,MATCH(1,($I$7='Pathway B benchmarks'!A61:A63)*($M$68='Pathway B benchmarks'!B61:B63),0),1))</f>
        <v>#N/A</v>
      </c>
      <c r="Z68" s="347" t="e">
        <f t="shared" si="4"/>
        <v>#N/A</v>
      </c>
      <c r="AA68" s="303"/>
      <c r="AB68" s="303"/>
      <c r="AC68" s="344" t="str">
        <f t="shared" si="5"/>
        <v/>
      </c>
      <c r="AD68" s="339"/>
      <c r="AE68" s="364">
        <f>IF(AD68&gt;0,AD68*0.001*IF(OR(AA68&gt;$J$68,AB68&lt;$K$68), 0, IF(AA68&lt;$J$68,AB68-$J$68,IF($K$68&lt;AB68,AB68-$K$68,AC68)))/AC68,0)</f>
        <v>0</v>
      </c>
      <c r="AF68" s="348" t="e" cm="1">
        <f t="array" ref="AF68">IF('Pathway B benchmarks'!F39,INDEX('Pathway B benchmarks'!F39:F56,MATCH(1,($AE$6='Pathway B benchmarks'!A39:A56)*($M$68='Pathway B benchmarks'!B39:B56),0),1))</f>
        <v>#N/A</v>
      </c>
      <c r="AG68" s="349">
        <f t="shared" si="6"/>
        <v>0</v>
      </c>
      <c r="AH68" s="303"/>
      <c r="AI68" s="303"/>
      <c r="AJ68" s="344" t="str">
        <f t="shared" si="7"/>
        <v/>
      </c>
      <c r="AK68" s="339"/>
      <c r="AL68" s="363">
        <f>IF(AK68&gt;0,AK68*26.2*IF(OR(AH68&gt;$J$68,AI68&lt;$K$68), 0, IF(AH68&lt;$J$68,AI68-$J$68,IF($K$68&lt;AI68,AI68-$K$68,AJ68)))/AJ68,0)</f>
        <v>0</v>
      </c>
      <c r="AM68" s="345" t="e" cm="1">
        <f t="array" ref="AM68">IF('Pathway B benchmarks'!F39,INDEX('Pathway B benchmarks'!F39:F56,MATCH(1,($AL$6='Pathway B benchmarks'!A39:A56)*($M$68='Pathway B benchmarks'!B39:B56),0),1))</f>
        <v>#N/A</v>
      </c>
      <c r="AN68" s="347">
        <f t="shared" si="21"/>
        <v>0</v>
      </c>
      <c r="AO68" s="303"/>
      <c r="AP68" s="303"/>
      <c r="AQ68" s="344" t="str">
        <f t="shared" si="22"/>
        <v/>
      </c>
      <c r="AR68" s="339"/>
      <c r="AS68" s="363">
        <f>IF(AR68&gt;0,AR68*38.6*IF(OR(AO68&gt;$J$68,AP68&lt;$K$68), 0, IF(AO68&lt;$J$68,AP68-$J$68,IF($K$68&lt;AP68,AP68-$K$68,AQ68)))/AQ68,0)</f>
        <v>0</v>
      </c>
      <c r="AT68" s="345" t="e" cm="1">
        <f t="array" ref="AT68">IF('Pathway B benchmarks'!F39,INDEX('Pathway B benchmarks'!F39:F56,MATCH(1,($AS$6='Pathway B benchmarks'!A39:A56)*($M$68='Pathway B benchmarks'!B39:B56),0),1))</f>
        <v>#N/A</v>
      </c>
      <c r="AU68" s="347">
        <f t="shared" si="23"/>
        <v>0</v>
      </c>
      <c r="AV68" s="347" t="e">
        <f>IF($I68="","",IF($I68="Custom",0,INDEX('Pathway B benchmarks'!$17:$18,MATCH($I68,'Pathway B benchmarks'!$A$17:$A$18,0),MATCH($S68,'Pathway B benchmarks'!$17:$17,0))))</f>
        <v>#N/A</v>
      </c>
      <c r="AW68" s="347" t="e">
        <f>IF($I68="","",IF($I68="Custom",0,INDEX('Pathway B benchmarks'!$30:$34,2,MATCH($S68,'Pathway B benchmarks'!$30:$30,0))))</f>
        <v>#N/A</v>
      </c>
      <c r="AX68" s="345" t="e">
        <f>IF($AW$68=0,1,$Q$68/$AW$68)*$AV$68</f>
        <v>#N/A</v>
      </c>
      <c r="AY68" s="353" t="e">
        <f>$AX$68/1000*$Y68/0.0036</f>
        <v>#N/A</v>
      </c>
      <c r="AZ68" s="353" t="e">
        <f>$AY$68/70*100</f>
        <v>#N/A</v>
      </c>
      <c r="BA68" s="353" t="e">
        <f t="shared" si="24"/>
        <v>#N/A</v>
      </c>
      <c r="BB68" s="350">
        <f t="shared" si="25"/>
        <v>0</v>
      </c>
      <c r="BC68" s="350" t="e">
        <f t="shared" si="26"/>
        <v>#N/A</v>
      </c>
      <c r="BD68" s="351">
        <f>IF(OR(E68="Whole Building", E68="Hotel", E68="School", E68="Data Centre (Whole facility)", E68="Residential Aged Care", E68="Retirement Living", E68="RAC and retirement (co-located)"),VLOOKUP(BB68,'Points Table'!$B$13:$C$36,2,TRUE),IF(OR(E68="Base Building", E68="Shopping Centre", E68="Apartment", E68="Warehouse and Cold Store", E68="Data Centre (Infrastructure)"),VLOOKUP(BB68,'Points Table'!$E$13:$F$33,2,TRUE),0))</f>
        <v>0</v>
      </c>
      <c r="BE68" s="352" t="str">
        <f>IF(AND($E$68="Whole Building", $BD$68&gt;=10), "YES", IF(AND($E$68="Base Building", $BD$68&gt;=8), "YES", "NO"))</f>
        <v>NO</v>
      </c>
    </row>
    <row r="69" spans="2:57">
      <c r="B69" s="300"/>
      <c r="C69" s="300"/>
      <c r="D69" s="300"/>
      <c r="E69" s="300"/>
      <c r="F69" s="300"/>
      <c r="G69" s="300"/>
      <c r="H69" s="300"/>
      <c r="I69" s="343" t="s">
        <v>943</v>
      </c>
      <c r="J69" s="274"/>
      <c r="K69" s="274"/>
      <c r="L69" s="359">
        <f t="shared" si="18"/>
        <v>1</v>
      </c>
      <c r="M69" s="362">
        <f t="shared" si="19"/>
        <v>1900</v>
      </c>
      <c r="N69" s="300"/>
      <c r="O69" s="300"/>
      <c r="P69" s="300"/>
      <c r="Q69" s="300"/>
      <c r="R69" s="300"/>
      <c r="S69" s="300"/>
      <c r="T69" s="303"/>
      <c r="U69" s="303"/>
      <c r="V69" s="344" t="str">
        <f t="shared" si="20"/>
        <v/>
      </c>
      <c r="W69" s="339"/>
      <c r="X69" s="363">
        <f>IF(W69&gt;0,W69*0.0036*IF(OR(T69&gt;$J$69,U69&lt;$K$69), 0, IF(T69&lt;$J$69,U69-$J$69,IF($K$69&lt;U69,U69-$K$69,V69)))/V69,0)</f>
        <v>0</v>
      </c>
      <c r="Y69" s="346" t="e" cm="1">
        <f t="array" ref="Y69">IF('Pathway B benchmarks'!C61,INDEX('Pathway B benchmarks'!C61:C63,MATCH(1,($I$7='Pathway B benchmarks'!A61:A63)*($M$69='Pathway B benchmarks'!B61:B63),0),1))</f>
        <v>#N/A</v>
      </c>
      <c r="Z69" s="347" t="e">
        <f t="shared" si="4"/>
        <v>#N/A</v>
      </c>
      <c r="AA69" s="303"/>
      <c r="AB69" s="303"/>
      <c r="AC69" s="344" t="str">
        <f t="shared" si="5"/>
        <v/>
      </c>
      <c r="AD69" s="339"/>
      <c r="AE69" s="364">
        <f>IF(AD69&gt;0,AD69*0.001*IF(OR(AA69&gt;$J$69,AB69&lt;$K$69), 0, IF(AA69&lt;$J$69,AB69-$J$69,IF($K$69&lt;AB69,AB69-$K$69,AC69)))/AC69,0)</f>
        <v>0</v>
      </c>
      <c r="AF69" s="348" t="e" cm="1">
        <f t="array" ref="AF69">IF('Pathway B benchmarks'!F39,INDEX('Pathway B benchmarks'!F39:F56,MATCH(1,($AE$6='Pathway B benchmarks'!A39:A56)*($M$69='Pathway B benchmarks'!B39:B56),0),1))</f>
        <v>#N/A</v>
      </c>
      <c r="AG69" s="349">
        <f t="shared" si="6"/>
        <v>0</v>
      </c>
      <c r="AH69" s="303"/>
      <c r="AI69" s="303"/>
      <c r="AJ69" s="344" t="str">
        <f t="shared" si="7"/>
        <v/>
      </c>
      <c r="AK69" s="339"/>
      <c r="AL69" s="363">
        <f>IF(AK69&gt;0,AK69*26.2*IF(OR(AH69&gt;$J$69,AI69&lt;$K$69), 0, IF(AH69&lt;$J$69,AI69-$J$69,IF($K$69&lt;AI69,AI69-$K$69,AJ69)))/AJ69,0)</f>
        <v>0</v>
      </c>
      <c r="AM69" s="345" t="e" cm="1">
        <f t="array" ref="AM69">IF('Pathway B benchmarks'!F39,INDEX('Pathway B benchmarks'!F39:F56,MATCH(1,($AL$6='Pathway B benchmarks'!A39:A56)*($M$69='Pathway B benchmarks'!B39:B56),0),1))</f>
        <v>#N/A</v>
      </c>
      <c r="AN69" s="347">
        <f t="shared" si="21"/>
        <v>0</v>
      </c>
      <c r="AO69" s="303"/>
      <c r="AP69" s="303"/>
      <c r="AQ69" s="344" t="str">
        <f t="shared" si="22"/>
        <v/>
      </c>
      <c r="AR69" s="339"/>
      <c r="AS69" s="363">
        <f>IF(AR69&gt;0,AR69*38.6*IF(OR(AO69&gt;$J$69,AP69&lt;$K$69), 0, IF(AO69&lt;$J$69,AP69-$J$69,IF($K$69&lt;AP69,AP69-$K$69,AQ69)))/AQ69,0)</f>
        <v>0</v>
      </c>
      <c r="AT69" s="345" t="e" cm="1">
        <f t="array" ref="AT69">IF('Pathway B benchmarks'!F39,INDEX('Pathway B benchmarks'!F39:F56,MATCH(1,($AS$6='Pathway B benchmarks'!A39:A56)*($M$69='Pathway B benchmarks'!B39:B56),0),1))</f>
        <v>#N/A</v>
      </c>
      <c r="AU69" s="347">
        <f t="shared" si="23"/>
        <v>0</v>
      </c>
      <c r="AV69" s="347" t="e">
        <f>IF($I69="","",IF($I69="Custom",0,INDEX('Pathway B benchmarks'!$17:$18,MATCH($I69,'Pathway B benchmarks'!$A$17:$A$18,0),MATCH($S69,'Pathway B benchmarks'!$17:$17,0))))</f>
        <v>#N/A</v>
      </c>
      <c r="AW69" s="347" t="e">
        <f>IF($I69="","",IF($I69="Custom",0,INDEX('Pathway B benchmarks'!$30:$34,2,MATCH($S69,'Pathway B benchmarks'!$30:$30,0))))</f>
        <v>#N/A</v>
      </c>
      <c r="AX69" s="345" t="e">
        <f>IF($AW$69=0,1,$Q$69/$AW$69)*$AV$69</f>
        <v>#N/A</v>
      </c>
      <c r="AY69" s="353" t="e">
        <f>$AX$69/1000*$Y69/0.0036</f>
        <v>#N/A</v>
      </c>
      <c r="AZ69" s="353" t="e">
        <f>$AY$69/70*100</f>
        <v>#N/A</v>
      </c>
      <c r="BA69" s="353" t="e">
        <f t="shared" si="24"/>
        <v>#N/A</v>
      </c>
      <c r="BB69" s="350">
        <f t="shared" si="25"/>
        <v>0</v>
      </c>
      <c r="BC69" s="350" t="e">
        <f t="shared" si="26"/>
        <v>#N/A</v>
      </c>
      <c r="BD69" s="351">
        <f>IF(OR(E69="Whole Building", E69="Hotel", E69="School", E69="Data Centre (Whole facility)", E69="Residential Aged Care", E69="Retirement Living", E69="RAC and retirement (co-located)"),VLOOKUP(BB69,'Points Table'!$B$13:$C$36,2,TRUE),IF(OR(E69="Base Building", E69="Shopping Centre", E69="Apartment", E69="Warehouse and Cold Store", E69="Data Centre (Infrastructure)"),VLOOKUP(BB69,'Points Table'!$E$13:$F$33,2,TRUE),0))</f>
        <v>0</v>
      </c>
      <c r="BE69" s="352" t="str">
        <f>IF(AND($E$69="Whole Building", $BD$69&gt;=10), "YES", IF(AND($E$69="Base Building", $BD$69&gt;=8), "YES", "NO"))</f>
        <v>NO</v>
      </c>
    </row>
    <row r="70" spans="2:57">
      <c r="B70" s="300"/>
      <c r="C70" s="300"/>
      <c r="D70" s="300"/>
      <c r="E70" s="300"/>
      <c r="F70" s="300"/>
      <c r="G70" s="300"/>
      <c r="H70" s="300"/>
      <c r="I70" s="343" t="s">
        <v>943</v>
      </c>
      <c r="J70" s="274"/>
      <c r="K70" s="274"/>
      <c r="L70" s="359">
        <f t="shared" si="18"/>
        <v>1</v>
      </c>
      <c r="M70" s="362">
        <f t="shared" si="19"/>
        <v>1900</v>
      </c>
      <c r="N70" s="300"/>
      <c r="O70" s="300"/>
      <c r="P70" s="300"/>
      <c r="Q70" s="300"/>
      <c r="R70" s="300"/>
      <c r="S70" s="300"/>
      <c r="T70" s="303"/>
      <c r="U70" s="303"/>
      <c r="V70" s="344" t="str">
        <f t="shared" si="20"/>
        <v/>
      </c>
      <c r="W70" s="339"/>
      <c r="X70" s="363">
        <f>IF(W70&gt;0,W70*0.0036*IF(OR(T70&gt;$J$70,U70&lt;$K$70), 0, IF(T70&lt;$J$70,U70-$J$70,IF($K$70&lt;U70,U70-$K$70,V70)))/V70,0)</f>
        <v>0</v>
      </c>
      <c r="Y70" s="346" t="e" cm="1">
        <f t="array" ref="Y70">IF('Pathway B benchmarks'!C61,INDEX('Pathway B benchmarks'!C61:C63,MATCH(1,($I$7='Pathway B benchmarks'!A61:A63)*($M$70='Pathway B benchmarks'!B61:B63),0),1))</f>
        <v>#N/A</v>
      </c>
      <c r="Z70" s="347" t="e">
        <f t="shared" si="4"/>
        <v>#N/A</v>
      </c>
      <c r="AA70" s="303"/>
      <c r="AB70" s="303"/>
      <c r="AC70" s="344" t="str">
        <f t="shared" si="5"/>
        <v/>
      </c>
      <c r="AD70" s="339"/>
      <c r="AE70" s="364">
        <f>IF(AD70&gt;0,AD70*0.001*IF(OR(AA70&gt;$J$70,AB70&lt;$K$70), 0, IF(AA70&lt;$J$70,AB70-$J$70,IF($K$70&lt;AB70,AB70-$K$70,AC70)))/AC70,0)</f>
        <v>0</v>
      </c>
      <c r="AF70" s="348" t="e" cm="1">
        <f t="array" ref="AF70">IF('Pathway B benchmarks'!F39,INDEX('Pathway B benchmarks'!F39:F56,MATCH(1,($AE$6='Pathway B benchmarks'!A39:A56)*($M$70='Pathway B benchmarks'!B39:B56),0),1))</f>
        <v>#N/A</v>
      </c>
      <c r="AG70" s="349">
        <f t="shared" si="6"/>
        <v>0</v>
      </c>
      <c r="AH70" s="303"/>
      <c r="AI70" s="303"/>
      <c r="AJ70" s="344" t="str">
        <f t="shared" si="7"/>
        <v/>
      </c>
      <c r="AK70" s="339"/>
      <c r="AL70" s="363">
        <f>IF(AK70&gt;0,AK70*26.2*IF(OR(AH70&gt;$J$70,AI70&lt;$K$70), 0, IF(AH70&lt;$J$70,AI70-$J$70,IF($K$70&lt;AI70,AI70-$K$70,AJ70)))/AJ70,0)</f>
        <v>0</v>
      </c>
      <c r="AM70" s="345" t="e" cm="1">
        <f t="array" ref="AM70">IF('Pathway B benchmarks'!F39,INDEX('Pathway B benchmarks'!F39:F56,MATCH(1,($AL$6='Pathway B benchmarks'!A39:A56)*($M$70='Pathway B benchmarks'!B39:B56),0),1))</f>
        <v>#N/A</v>
      </c>
      <c r="AN70" s="347">
        <f t="shared" si="21"/>
        <v>0</v>
      </c>
      <c r="AO70" s="303"/>
      <c r="AP70" s="303"/>
      <c r="AQ70" s="344" t="str">
        <f t="shared" si="22"/>
        <v/>
      </c>
      <c r="AR70" s="339"/>
      <c r="AS70" s="363">
        <f>IF(AR70&gt;0,AR70*38.6*IF(OR(AO70&gt;$J$70,AP70&lt;$K$70), 0, IF(AO70&lt;$J$70,AP70-$J$70,IF($K$70&lt;AP70,AP70-$K$70,AQ70)))/AQ70,0)</f>
        <v>0</v>
      </c>
      <c r="AT70" s="345" t="e" cm="1">
        <f t="array" ref="AT70">IF('Pathway B benchmarks'!F39,INDEX('Pathway B benchmarks'!F39:F56,MATCH(1,($AS$6='Pathway B benchmarks'!A39:A56)*($M$70='Pathway B benchmarks'!B39:B56),0),1))</f>
        <v>#N/A</v>
      </c>
      <c r="AU70" s="347">
        <f t="shared" si="23"/>
        <v>0</v>
      </c>
      <c r="AV70" s="347" t="e">
        <f>IF($I70="","",IF($I70="Custom",0,INDEX('Pathway B benchmarks'!$17:$18,MATCH($I70,'Pathway B benchmarks'!$A$17:$A$18,0),MATCH($S70,'Pathway B benchmarks'!$17:$17,0))))</f>
        <v>#N/A</v>
      </c>
      <c r="AW70" s="347" t="e">
        <f>IF($I70="","",IF($I70="Custom",0,INDEX('Pathway B benchmarks'!$30:$34,2,MATCH($S70,'Pathway B benchmarks'!$30:$30,0))))</f>
        <v>#N/A</v>
      </c>
      <c r="AX70" s="345" t="e">
        <f>IF($AW$70=0,1,$Q$70/$AW$70)*$AV$70</f>
        <v>#N/A</v>
      </c>
      <c r="AY70" s="353" t="e">
        <f>$AX$70/1000*$Y70/0.0036</f>
        <v>#N/A</v>
      </c>
      <c r="AZ70" s="353" t="e">
        <f>$AY$70/70*100</f>
        <v>#N/A</v>
      </c>
      <c r="BA70" s="353" t="e">
        <f t="shared" si="24"/>
        <v>#N/A</v>
      </c>
      <c r="BB70" s="350">
        <f t="shared" si="25"/>
        <v>0</v>
      </c>
      <c r="BC70" s="350" t="e">
        <f t="shared" si="26"/>
        <v>#N/A</v>
      </c>
      <c r="BD70" s="351">
        <f>IF(OR(E70="Whole Building", E70="Hotel", E70="School", E70="Data Centre (Whole facility)", E70="Residential Aged Care", E70="Retirement Living", E70="RAC and retirement (co-located)"),VLOOKUP(BB70,'Points Table'!$B$13:$C$36,2,TRUE),IF(OR(E70="Base Building", E70="Shopping Centre", E70="Apartment", E70="Warehouse and Cold Store", E70="Data Centre (Infrastructure)"),VLOOKUP(BB70,'Points Table'!$E$13:$F$33,2,TRUE),0))</f>
        <v>0</v>
      </c>
      <c r="BE70" s="352" t="str">
        <f>IF(AND($E$70="Whole Building", $BD$70&gt;=10), "YES", IF(AND($E$70="Base Building", $BD$70&gt;=8), "YES", "NO"))</f>
        <v>NO</v>
      </c>
    </row>
    <row r="71" spans="2:57">
      <c r="B71" s="300"/>
      <c r="C71" s="300"/>
      <c r="D71" s="300"/>
      <c r="E71" s="300"/>
      <c r="F71" s="300"/>
      <c r="G71" s="300"/>
      <c r="H71" s="300"/>
      <c r="I71" s="343" t="s">
        <v>943</v>
      </c>
      <c r="J71" s="274"/>
      <c r="K71" s="274"/>
      <c r="L71" s="359">
        <f t="shared" ref="L71:L102" si="27">K71-J71+1</f>
        <v>1</v>
      </c>
      <c r="M71" s="362">
        <f t="shared" ref="M71:M107" si="28">YEAR(K71)</f>
        <v>1900</v>
      </c>
      <c r="N71" s="300"/>
      <c r="O71" s="300"/>
      <c r="P71" s="300"/>
      <c r="Q71" s="300"/>
      <c r="R71" s="300"/>
      <c r="S71" s="300"/>
      <c r="T71" s="303"/>
      <c r="U71" s="303"/>
      <c r="V71" s="344" t="str">
        <f t="shared" ref="V71:V102" si="29">IF(ISBLANK(U71),"",U71-T71+1)</f>
        <v/>
      </c>
      <c r="W71" s="339"/>
      <c r="X71" s="363">
        <f>IF(W71&gt;0,W71*0.0036*IF(OR(T71&gt;$J$71,U71&lt;$K$71), 0, IF(T71&lt;$J$71,U71-$J$71,IF($K$71&lt;U71,U71-$K$71,V71)))/V71,0)</f>
        <v>0</v>
      </c>
      <c r="Y71" s="346" t="e" cm="1">
        <f t="array" ref="Y71">IF('Pathway B benchmarks'!C61,INDEX('Pathway B benchmarks'!C61:C63,MATCH(1,($I$7='Pathway B benchmarks'!A61:A63)*($M$71='Pathway B benchmarks'!B61:B63),0),1))</f>
        <v>#N/A</v>
      </c>
      <c r="Z71" s="347" t="e">
        <f t="shared" ref="Z71:Z107" si="30">$Y71/0.0036*$X71</f>
        <v>#N/A</v>
      </c>
      <c r="AA71" s="303"/>
      <c r="AB71" s="303"/>
      <c r="AC71" s="344" t="str">
        <f t="shared" ref="AC71:AC107" si="31">IF(ISBLANK(AB71),"",AB71-AA71+1)</f>
        <v/>
      </c>
      <c r="AD71" s="339"/>
      <c r="AE71" s="364">
        <f>IF(AD71&gt;0,AD71*0.001*IF(OR(AA71&gt;$J$71,AB71&lt;$K$71), 0, IF(AA71&lt;$J$71,AB71-$J$71,IF($K$71&lt;AB71,AB71-$K$71,AC71)))/AC71,0)</f>
        <v>0</v>
      </c>
      <c r="AF71" s="348" t="e" cm="1">
        <f t="array" ref="AF71">IF('Pathway B benchmarks'!F39,INDEX('Pathway B benchmarks'!F39:F56,MATCH(1,($AE$6='Pathway B benchmarks'!A39:A56)*($M$71='Pathway B benchmarks'!B39:B56),0),1))</f>
        <v>#N/A</v>
      </c>
      <c r="AG71" s="349">
        <f t="shared" ref="AG71:AG107" si="32">IFERROR($AE71*$AF71,0)</f>
        <v>0</v>
      </c>
      <c r="AH71" s="303"/>
      <c r="AI71" s="303"/>
      <c r="AJ71" s="344" t="str">
        <f t="shared" ref="AJ71:AJ107" si="33">IF(ISBLANK(AI71),"",AI71-AH71+1)</f>
        <v/>
      </c>
      <c r="AK71" s="339"/>
      <c r="AL71" s="363">
        <f>IF(AK71&gt;0,AK71*26.2*IF(OR(AH71&gt;$J$71,AI71&lt;$K$71), 0, IF(AH71&lt;$J$71,AI71-$J$71,IF($K$71&lt;AI71,AI71-$K$71,AJ71)))/AJ71,0)</f>
        <v>0</v>
      </c>
      <c r="AM71" s="345" t="e" cm="1">
        <f t="array" ref="AM71">IF('Pathway B benchmarks'!F39,INDEX('Pathway B benchmarks'!F39:F56,MATCH(1,($AL$6='Pathway B benchmarks'!A39:A56)*($M$71='Pathway B benchmarks'!B39:B56),0),1))</f>
        <v>#N/A</v>
      </c>
      <c r="AN71" s="347">
        <f t="shared" ref="AN71:AN107" si="34">IFERROR($AL71*$AM71,0)</f>
        <v>0</v>
      </c>
      <c r="AO71" s="303"/>
      <c r="AP71" s="303"/>
      <c r="AQ71" s="344" t="str">
        <f t="shared" ref="AQ71:AQ102" si="35">IF(ISBLANK(AP71),"",AP71-AO71+1)</f>
        <v/>
      </c>
      <c r="AR71" s="339"/>
      <c r="AS71" s="363">
        <f>IF(AR71&gt;0,AR71*38.6*IF(OR(AO71&gt;$J$71,AP71&lt;$K$71), 0, IF(AO71&lt;$J$71,AP71-$J$71,IF($K$71&lt;AP71,AP71-$K$71,AQ71)))/AQ71,0)</f>
        <v>0</v>
      </c>
      <c r="AT71" s="345" t="e" cm="1">
        <f t="array" ref="AT71">IF('Pathway B benchmarks'!F39,INDEX('Pathway B benchmarks'!F39:F56,MATCH(1,($AS$6='Pathway B benchmarks'!A39:A56)*($M$71='Pathway B benchmarks'!B39:B56),0),1))</f>
        <v>#N/A</v>
      </c>
      <c r="AU71" s="347">
        <f t="shared" ref="AU71:AU107" si="36">IFERROR($AS71*$AT71,0)</f>
        <v>0</v>
      </c>
      <c r="AV71" s="347" t="e">
        <f>IF($I71="","",IF($I71="Custom",0,INDEX('Pathway B benchmarks'!$17:$18,MATCH($I71,'Pathway B benchmarks'!$A$17:$A$18,0),MATCH($S71,'Pathway B benchmarks'!$17:$17,0))))</f>
        <v>#N/A</v>
      </c>
      <c r="AW71" s="347" t="e">
        <f>IF($I71="","",IF($I71="Custom",0,INDEX('Pathway B benchmarks'!$30:$34,2,MATCH($S71,'Pathway B benchmarks'!$30:$30,0))))</f>
        <v>#N/A</v>
      </c>
      <c r="AX71" s="345" t="e">
        <f>IF($AW$71=0,1,$Q$71/$AW$71)*$AV$71</f>
        <v>#N/A</v>
      </c>
      <c r="AY71" s="353" t="e">
        <f>$AX$71/1000*$Y71/0.0036</f>
        <v>#N/A</v>
      </c>
      <c r="AZ71" s="353" t="e">
        <f>$AY$71/70*100</f>
        <v>#N/A</v>
      </c>
      <c r="BA71" s="353" t="e">
        <f t="shared" ref="BA71:BA107" si="37">(Z71+AG71+AN71+AU71)/P71</f>
        <v>#N/A</v>
      </c>
      <c r="BB71" s="350">
        <f t="shared" ref="BB71:BB102" si="38">MAX(0,IFERROR(1-(BA71/(AY71/70)/100),0))</f>
        <v>0</v>
      </c>
      <c r="BC71" s="350" t="e">
        <f t="shared" ref="BC71:BC107" si="39">(1-BA71/AY71)</f>
        <v>#N/A</v>
      </c>
      <c r="BD71" s="351">
        <f>IF(OR(E71="Whole Building", E71="Hotel", E71="School", E71="Data Centre (Whole facility)", E71="Residential Aged Care", E71="Retirement Living", E71="RAC and retirement (co-located)"),VLOOKUP(BB71,'Points Table'!$B$13:$C$36,2,TRUE),IF(OR(E71="Base Building", E71="Shopping Centre", E71="Apartment", E71="Warehouse and Cold Store", E71="Data Centre (Infrastructure)"),VLOOKUP(BB71,'Points Table'!$E$13:$F$33,2,TRUE),0))</f>
        <v>0</v>
      </c>
      <c r="BE71" s="352" t="str">
        <f>IF(AND($E$71="Whole Building", $BD$71&gt;=10), "YES", IF(AND($E$71="Base Building", $BD$71&gt;=8), "YES", "NO"))</f>
        <v>NO</v>
      </c>
    </row>
    <row r="72" spans="2:57">
      <c r="B72" s="300"/>
      <c r="C72" s="300"/>
      <c r="D72" s="300"/>
      <c r="E72" s="300"/>
      <c r="F72" s="300"/>
      <c r="G72" s="300"/>
      <c r="H72" s="300"/>
      <c r="I72" s="343" t="s">
        <v>943</v>
      </c>
      <c r="J72" s="274"/>
      <c r="K72" s="274"/>
      <c r="L72" s="359">
        <f t="shared" si="27"/>
        <v>1</v>
      </c>
      <c r="M72" s="362">
        <f t="shared" si="28"/>
        <v>1900</v>
      </c>
      <c r="N72" s="300"/>
      <c r="O72" s="300"/>
      <c r="P72" s="300"/>
      <c r="Q72" s="300"/>
      <c r="R72" s="300"/>
      <c r="S72" s="300"/>
      <c r="T72" s="303"/>
      <c r="U72" s="303"/>
      <c r="V72" s="344" t="str">
        <f t="shared" si="29"/>
        <v/>
      </c>
      <c r="W72" s="339"/>
      <c r="X72" s="363">
        <f>IF(W72&gt;0,W72*0.0036*IF(OR(T72&gt;$J$72,U72&lt;$K$72), 0, IF(T72&lt;$J$72,U72-$J$72,IF($K$72&lt;U72,U72-$K$72,V72)))/V72,0)</f>
        <v>0</v>
      </c>
      <c r="Y72" s="346" t="e" cm="1">
        <f t="array" ref="Y72">IF('Pathway B benchmarks'!C61,INDEX('Pathway B benchmarks'!C61:C63,MATCH(1,($I$7='Pathway B benchmarks'!A61:A63)*($M$72='Pathway B benchmarks'!B61:B63),0),1))</f>
        <v>#N/A</v>
      </c>
      <c r="Z72" s="347" t="e">
        <f t="shared" si="30"/>
        <v>#N/A</v>
      </c>
      <c r="AA72" s="303"/>
      <c r="AB72" s="303"/>
      <c r="AC72" s="344" t="str">
        <f t="shared" si="31"/>
        <v/>
      </c>
      <c r="AD72" s="339"/>
      <c r="AE72" s="364">
        <f>IF(AD72&gt;0,AD72*0.001*IF(OR(AA72&gt;$J$72,AB72&lt;$K$72), 0, IF(AA72&lt;$J$72,AB72-$J$72,IF($K$72&lt;AB72,AB72-$K$72,AC72)))/AC72,0)</f>
        <v>0</v>
      </c>
      <c r="AF72" s="348" t="e" cm="1">
        <f t="array" ref="AF72">IF('Pathway B benchmarks'!F39,INDEX('Pathway B benchmarks'!F39:F56,MATCH(1,($AE$6='Pathway B benchmarks'!A39:A56)*($M$72='Pathway B benchmarks'!B39:B56),0),1))</f>
        <v>#N/A</v>
      </c>
      <c r="AG72" s="349">
        <f t="shared" si="32"/>
        <v>0</v>
      </c>
      <c r="AH72" s="303"/>
      <c r="AI72" s="303"/>
      <c r="AJ72" s="344" t="str">
        <f t="shared" si="33"/>
        <v/>
      </c>
      <c r="AK72" s="339"/>
      <c r="AL72" s="363">
        <f>IF(AK72&gt;0,AK72*26.2*IF(OR(AH72&gt;$J$72,AI72&lt;$K$72), 0, IF(AH72&lt;$J$72,AI72-$J$72,IF($K$72&lt;AI72,AI72-$K$72,AJ72)))/AJ72,0)</f>
        <v>0</v>
      </c>
      <c r="AM72" s="345" t="e" cm="1">
        <f t="array" ref="AM72">IF('Pathway B benchmarks'!F39,INDEX('Pathway B benchmarks'!F39:F56,MATCH(1,($AL$6='Pathway B benchmarks'!A39:A56)*($M$72='Pathway B benchmarks'!B39:B56),0),1))</f>
        <v>#N/A</v>
      </c>
      <c r="AN72" s="347">
        <f t="shared" si="34"/>
        <v>0</v>
      </c>
      <c r="AO72" s="303"/>
      <c r="AP72" s="303"/>
      <c r="AQ72" s="344" t="str">
        <f t="shared" si="35"/>
        <v/>
      </c>
      <c r="AR72" s="339"/>
      <c r="AS72" s="363">
        <f>IF(AR72&gt;0,AR72*38.6*IF(OR(AO72&gt;$J$72,AP72&lt;$K$72), 0, IF(AO72&lt;$J$72,AP72-$J$72,IF($K$72&lt;AP72,AP72-$K$72,AQ72)))/AQ72,0)</f>
        <v>0</v>
      </c>
      <c r="AT72" s="345" t="e" cm="1">
        <f t="array" ref="AT72">IF('Pathway B benchmarks'!F39,INDEX('Pathway B benchmarks'!F39:F56,MATCH(1,($AS$6='Pathway B benchmarks'!A39:A56)*($M$72='Pathway B benchmarks'!B39:B56),0),1))</f>
        <v>#N/A</v>
      </c>
      <c r="AU72" s="347">
        <f t="shared" si="36"/>
        <v>0</v>
      </c>
      <c r="AV72" s="347" t="e">
        <f>IF($I72="","",IF($I72="Custom",0,INDEX('Pathway B benchmarks'!$17:$18,MATCH($I72,'Pathway B benchmarks'!$A$17:$A$18,0),MATCH($S72,'Pathway B benchmarks'!$17:$17,0))))</f>
        <v>#N/A</v>
      </c>
      <c r="AW72" s="347" t="e">
        <f>IF($I72="","",IF($I72="Custom",0,INDEX('Pathway B benchmarks'!$30:$34,2,MATCH($S72,'Pathway B benchmarks'!$30:$30,0))))</f>
        <v>#N/A</v>
      </c>
      <c r="AX72" s="345" t="e">
        <f>IF($AW$72=0,1,$Q$72/$AW$72)*$AV$72</f>
        <v>#N/A</v>
      </c>
      <c r="AY72" s="353" t="e">
        <f>$AX$72/1000*$Y72/0.0036</f>
        <v>#N/A</v>
      </c>
      <c r="AZ72" s="353" t="e">
        <f>$AY$72/70*100</f>
        <v>#N/A</v>
      </c>
      <c r="BA72" s="353" t="e">
        <f t="shared" si="37"/>
        <v>#N/A</v>
      </c>
      <c r="BB72" s="350">
        <f t="shared" si="38"/>
        <v>0</v>
      </c>
      <c r="BC72" s="350" t="e">
        <f t="shared" si="39"/>
        <v>#N/A</v>
      </c>
      <c r="BD72" s="351">
        <f>IF(OR(E72="Whole Building", E72="Hotel", E72="School", E72="Data Centre (Whole facility)", E72="Residential Aged Care", E72="Retirement Living", E72="RAC and retirement (co-located)"),VLOOKUP(BB72,'Points Table'!$B$13:$C$36,2,TRUE),IF(OR(E72="Base Building", E72="Shopping Centre", E72="Apartment", E72="Warehouse and Cold Store", E72="Data Centre (Infrastructure)"),VLOOKUP(BB72,'Points Table'!$E$13:$F$33,2,TRUE),0))</f>
        <v>0</v>
      </c>
      <c r="BE72" s="352" t="str">
        <f>IF(AND($E$72="Whole Building", $BD$72&gt;=10), "YES", IF(AND($E$72="Base Building", $BD$72&gt;=8), "YES", "NO"))</f>
        <v>NO</v>
      </c>
    </row>
    <row r="73" spans="2:57">
      <c r="B73" s="300"/>
      <c r="C73" s="300"/>
      <c r="D73" s="300"/>
      <c r="E73" s="300"/>
      <c r="F73" s="300"/>
      <c r="G73" s="300"/>
      <c r="H73" s="300"/>
      <c r="I73" s="343" t="s">
        <v>943</v>
      </c>
      <c r="J73" s="274"/>
      <c r="K73" s="274"/>
      <c r="L73" s="359">
        <f t="shared" si="27"/>
        <v>1</v>
      </c>
      <c r="M73" s="362">
        <f t="shared" si="28"/>
        <v>1900</v>
      </c>
      <c r="N73" s="300"/>
      <c r="O73" s="300"/>
      <c r="P73" s="300"/>
      <c r="Q73" s="300"/>
      <c r="R73" s="300"/>
      <c r="S73" s="300"/>
      <c r="T73" s="303"/>
      <c r="U73" s="303"/>
      <c r="V73" s="344" t="str">
        <f t="shared" si="29"/>
        <v/>
      </c>
      <c r="W73" s="339"/>
      <c r="X73" s="363">
        <f>IF(W73&gt;0,W73*0.0036*IF(OR(T73&gt;$J$73,U73&lt;$K$73), 0, IF(T73&lt;$J$73,U73-$J$73,IF($K$73&lt;U73,U73-$K$73,V73)))/V73,0)</f>
        <v>0</v>
      </c>
      <c r="Y73" s="346" t="e" cm="1">
        <f t="array" ref="Y73">IF('Pathway B benchmarks'!C61,INDEX('Pathway B benchmarks'!C61:C63,MATCH(1,($I$7='Pathway B benchmarks'!A61:A63)*($M$73='Pathway B benchmarks'!B61:B63),0),1))</f>
        <v>#N/A</v>
      </c>
      <c r="Z73" s="347" t="e">
        <f t="shared" si="30"/>
        <v>#N/A</v>
      </c>
      <c r="AA73" s="303"/>
      <c r="AB73" s="303"/>
      <c r="AC73" s="344" t="str">
        <f t="shared" si="31"/>
        <v/>
      </c>
      <c r="AD73" s="339"/>
      <c r="AE73" s="364">
        <f>IF(AD73&gt;0,AD73*0.001*IF(OR(AA73&gt;$J$73,AB73&lt;$K$73), 0, IF(AA73&lt;$J$73,AB73-$J$73,IF($K$73&lt;AB73,AB73-$K$73,AC73)))/AC73,0)</f>
        <v>0</v>
      </c>
      <c r="AF73" s="348" t="e" cm="1">
        <f t="array" ref="AF73">IF('Pathway B benchmarks'!F39,INDEX('Pathway B benchmarks'!F39:F56,MATCH(1,($AE$6='Pathway B benchmarks'!A39:A56)*($M$73='Pathway B benchmarks'!B39:B56),0),1))</f>
        <v>#N/A</v>
      </c>
      <c r="AG73" s="349">
        <f t="shared" si="32"/>
        <v>0</v>
      </c>
      <c r="AH73" s="303"/>
      <c r="AI73" s="303"/>
      <c r="AJ73" s="344" t="str">
        <f t="shared" si="33"/>
        <v/>
      </c>
      <c r="AK73" s="339"/>
      <c r="AL73" s="363">
        <f>IF(AK73&gt;0,AK73*26.2*IF(OR(AH73&gt;$J$73,AI73&lt;$K$73), 0, IF(AH73&lt;$J$73,AI73-$J$73,IF($K$73&lt;AI73,AI73-$K$73,AJ73)))/AJ73,0)</f>
        <v>0</v>
      </c>
      <c r="AM73" s="345" t="e" cm="1">
        <f t="array" ref="AM73">IF('Pathway B benchmarks'!F39,INDEX('Pathway B benchmarks'!F39:F56,MATCH(1,($AL$6='Pathway B benchmarks'!A39:A56)*($M$73='Pathway B benchmarks'!B39:B56),0),1))</f>
        <v>#N/A</v>
      </c>
      <c r="AN73" s="347">
        <f t="shared" si="34"/>
        <v>0</v>
      </c>
      <c r="AO73" s="303"/>
      <c r="AP73" s="303"/>
      <c r="AQ73" s="344" t="str">
        <f t="shared" si="35"/>
        <v/>
      </c>
      <c r="AR73" s="339"/>
      <c r="AS73" s="363">
        <f>IF(AR73&gt;0,AR73*38.6*IF(OR(AO73&gt;$J$73,AP73&lt;$K$73), 0, IF(AO73&lt;$J$73,AP73-$J$73,IF($K$73&lt;AP73,AP73-$K$73,AQ73)))/AQ73,0)</f>
        <v>0</v>
      </c>
      <c r="AT73" s="345" t="e" cm="1">
        <f t="array" ref="AT73">IF('Pathway B benchmarks'!F39,INDEX('Pathway B benchmarks'!F39:F56,MATCH(1,($AS$6='Pathway B benchmarks'!A39:A56)*($M$73='Pathway B benchmarks'!B39:B56),0),1))</f>
        <v>#N/A</v>
      </c>
      <c r="AU73" s="347">
        <f t="shared" si="36"/>
        <v>0</v>
      </c>
      <c r="AV73" s="347" t="e">
        <f>IF($I73="","",IF($I73="Custom",0,INDEX('Pathway B benchmarks'!$17:$18,MATCH($I73,'Pathway B benchmarks'!$A$17:$A$18,0),MATCH($S73,'Pathway B benchmarks'!$17:$17,0))))</f>
        <v>#N/A</v>
      </c>
      <c r="AW73" s="347" t="e">
        <f>IF($I73="","",IF($I73="Custom",0,INDEX('Pathway B benchmarks'!$30:$34,2,MATCH($S73,'Pathway B benchmarks'!$30:$30,0))))</f>
        <v>#N/A</v>
      </c>
      <c r="AX73" s="345" t="e">
        <f>IF($AW$73=0,1,$Q$73/$AW$73)*$AV$73</f>
        <v>#N/A</v>
      </c>
      <c r="AY73" s="353" t="e">
        <f>$AX$73/1000*$Y73/0.0036</f>
        <v>#N/A</v>
      </c>
      <c r="AZ73" s="353" t="e">
        <f>$AY$73/70*100</f>
        <v>#N/A</v>
      </c>
      <c r="BA73" s="353" t="e">
        <f t="shared" si="37"/>
        <v>#N/A</v>
      </c>
      <c r="BB73" s="350">
        <f t="shared" si="38"/>
        <v>0</v>
      </c>
      <c r="BC73" s="350" t="e">
        <f t="shared" si="39"/>
        <v>#N/A</v>
      </c>
      <c r="BD73" s="351">
        <f>IF(OR(E73="Whole Building", E73="Hotel", E73="School", E73="Data Centre (Whole facility)", E73="Residential Aged Care", E73="Retirement Living", E73="RAC and retirement (co-located)"),VLOOKUP(BB73,'Points Table'!$B$13:$C$36,2,TRUE),IF(OR(E73="Base Building", E73="Shopping Centre", E73="Apartment", E73="Warehouse and Cold Store", E73="Data Centre (Infrastructure)"),VLOOKUP(BB73,'Points Table'!$E$13:$F$33,2,TRUE),0))</f>
        <v>0</v>
      </c>
      <c r="BE73" s="352" t="str">
        <f>IF(AND($E$73="Whole Building", $BD$73&gt;=10), "YES", IF(AND($E$73="Base Building", $BD$73&gt;=8), "YES", "NO"))</f>
        <v>NO</v>
      </c>
    </row>
    <row r="74" spans="2:57">
      <c r="B74" s="300"/>
      <c r="C74" s="300"/>
      <c r="D74" s="300"/>
      <c r="E74" s="300"/>
      <c r="F74" s="300"/>
      <c r="G74" s="300"/>
      <c r="H74" s="300"/>
      <c r="I74" s="343" t="s">
        <v>943</v>
      </c>
      <c r="J74" s="274"/>
      <c r="K74" s="274"/>
      <c r="L74" s="359">
        <f t="shared" si="27"/>
        <v>1</v>
      </c>
      <c r="M74" s="362">
        <f t="shared" si="28"/>
        <v>1900</v>
      </c>
      <c r="N74" s="300"/>
      <c r="O74" s="300"/>
      <c r="P74" s="300"/>
      <c r="Q74" s="300"/>
      <c r="R74" s="300"/>
      <c r="S74" s="300"/>
      <c r="T74" s="303"/>
      <c r="U74" s="303"/>
      <c r="V74" s="344" t="str">
        <f t="shared" si="29"/>
        <v/>
      </c>
      <c r="W74" s="339"/>
      <c r="X74" s="363">
        <f>IF(W74&gt;0,W74*0.0036*IF(OR(T74&gt;$J$74,U74&lt;$K$74), 0, IF(T74&lt;$J$74,U74-$J$74,IF($K$74&lt;U74,U74-$K$74,V74)))/V74,0)</f>
        <v>0</v>
      </c>
      <c r="Y74" s="346" t="e" cm="1">
        <f t="array" ref="Y74">IF('Pathway B benchmarks'!C61,INDEX('Pathway B benchmarks'!C61:C63,MATCH(1,($I$7='Pathway B benchmarks'!A61:A63)*($M$74='Pathway B benchmarks'!B61:B63),0),1))</f>
        <v>#N/A</v>
      </c>
      <c r="Z74" s="347" t="e">
        <f t="shared" si="30"/>
        <v>#N/A</v>
      </c>
      <c r="AA74" s="303"/>
      <c r="AB74" s="303"/>
      <c r="AC74" s="344" t="str">
        <f t="shared" si="31"/>
        <v/>
      </c>
      <c r="AD74" s="339"/>
      <c r="AE74" s="364">
        <f>IF(AD74&gt;0,AD74*0.001*IF(OR(AA74&gt;$J$74,AB74&lt;$K$74), 0, IF(AA74&lt;$J$74,AB74-$J$74,IF($K$74&lt;AB74,AB74-$K$74,AC74)))/AC74,0)</f>
        <v>0</v>
      </c>
      <c r="AF74" s="348" t="e" cm="1">
        <f t="array" ref="AF74">IF('Pathway B benchmarks'!F39,INDEX('Pathway B benchmarks'!F39:F56,MATCH(1,($AE$6='Pathway B benchmarks'!A39:A56)*($M$74='Pathway B benchmarks'!B39:B56),0),1))</f>
        <v>#N/A</v>
      </c>
      <c r="AG74" s="349">
        <f t="shared" si="32"/>
        <v>0</v>
      </c>
      <c r="AH74" s="303"/>
      <c r="AI74" s="303"/>
      <c r="AJ74" s="344" t="str">
        <f t="shared" si="33"/>
        <v/>
      </c>
      <c r="AK74" s="339"/>
      <c r="AL74" s="363">
        <f>IF(AK74&gt;0,AK74*26.2*IF(OR(AH74&gt;$J$74,AI74&lt;$K$74), 0, IF(AH74&lt;$J$74,AI74-$J$74,IF($K$74&lt;AI74,AI74-$K$74,AJ74)))/AJ74,0)</f>
        <v>0</v>
      </c>
      <c r="AM74" s="345" t="e" cm="1">
        <f t="array" ref="AM74">IF('Pathway B benchmarks'!F39,INDEX('Pathway B benchmarks'!F39:F56,MATCH(1,($AL$6='Pathway B benchmarks'!A39:A56)*($M$74='Pathway B benchmarks'!B39:B56),0),1))</f>
        <v>#N/A</v>
      </c>
      <c r="AN74" s="347">
        <f t="shared" si="34"/>
        <v>0</v>
      </c>
      <c r="AO74" s="303"/>
      <c r="AP74" s="303"/>
      <c r="AQ74" s="344" t="str">
        <f t="shared" si="35"/>
        <v/>
      </c>
      <c r="AR74" s="339"/>
      <c r="AS74" s="363">
        <f>IF(AR74&gt;0,AR74*38.6*IF(OR(AO74&gt;$J$74,AP74&lt;$K$74), 0, IF(AO74&lt;$J$74,AP74-$J$74,IF($K$74&lt;AP74,AP74-$K$74,AQ74)))/AQ74,0)</f>
        <v>0</v>
      </c>
      <c r="AT74" s="345" t="e" cm="1">
        <f t="array" ref="AT74">IF('Pathway B benchmarks'!F39,INDEX('Pathway B benchmarks'!F39:F56,MATCH(1,($AS$6='Pathway B benchmarks'!A39:A56)*($M$74='Pathway B benchmarks'!B39:B56),0),1))</f>
        <v>#N/A</v>
      </c>
      <c r="AU74" s="347">
        <f t="shared" si="36"/>
        <v>0</v>
      </c>
      <c r="AV74" s="347" t="e">
        <f>IF($I74="","",IF($I74="Custom",0,INDEX('Pathway B benchmarks'!$17:$18,MATCH($I74,'Pathway B benchmarks'!$A$17:$A$18,0),MATCH($S74,'Pathway B benchmarks'!$17:$17,0))))</f>
        <v>#N/A</v>
      </c>
      <c r="AW74" s="347" t="e">
        <f>IF($I74="","",IF($I74="Custom",0,INDEX('Pathway B benchmarks'!$30:$34,2,MATCH($S74,'Pathway B benchmarks'!$30:$30,0))))</f>
        <v>#N/A</v>
      </c>
      <c r="AX74" s="345" t="e">
        <f>IF($AW$74=0,1,$Q$74/$AW$74)*$AV$74</f>
        <v>#N/A</v>
      </c>
      <c r="AY74" s="353" t="e">
        <f>$AX$74/1000*$Y74/0.0036</f>
        <v>#N/A</v>
      </c>
      <c r="AZ74" s="353" t="e">
        <f>$AY$74/70*100</f>
        <v>#N/A</v>
      </c>
      <c r="BA74" s="353" t="e">
        <f t="shared" si="37"/>
        <v>#N/A</v>
      </c>
      <c r="BB74" s="350">
        <f t="shared" si="38"/>
        <v>0</v>
      </c>
      <c r="BC74" s="350" t="e">
        <f t="shared" si="39"/>
        <v>#N/A</v>
      </c>
      <c r="BD74" s="351">
        <f>IF(OR(E74="Whole Building", E74="Hotel", E74="School", E74="Data Centre (Whole facility)", E74="Residential Aged Care", E74="Retirement Living", E74="RAC and retirement (co-located)"),VLOOKUP(BB74,'Points Table'!$B$13:$C$36,2,TRUE),IF(OR(E74="Base Building", E74="Shopping Centre", E74="Apartment", E74="Warehouse and Cold Store", E74="Data Centre (Infrastructure)"),VLOOKUP(BB74,'Points Table'!$E$13:$F$33,2,TRUE),0))</f>
        <v>0</v>
      </c>
      <c r="BE74" s="352" t="str">
        <f>IF(AND($E$74="Whole Building", $BD$74&gt;=10), "YES", IF(AND($E$74="Base Building", $BD$74&gt;=8), "YES", "NO"))</f>
        <v>NO</v>
      </c>
    </row>
    <row r="75" spans="2:57">
      <c r="B75" s="300"/>
      <c r="C75" s="300"/>
      <c r="D75" s="300"/>
      <c r="E75" s="300"/>
      <c r="F75" s="300"/>
      <c r="G75" s="300"/>
      <c r="H75" s="300"/>
      <c r="I75" s="343" t="s">
        <v>943</v>
      </c>
      <c r="J75" s="274"/>
      <c r="K75" s="274"/>
      <c r="L75" s="359">
        <f t="shared" si="27"/>
        <v>1</v>
      </c>
      <c r="M75" s="362">
        <f t="shared" si="28"/>
        <v>1900</v>
      </c>
      <c r="N75" s="300"/>
      <c r="O75" s="300"/>
      <c r="P75" s="300"/>
      <c r="Q75" s="300"/>
      <c r="R75" s="300"/>
      <c r="S75" s="300"/>
      <c r="T75" s="303"/>
      <c r="U75" s="303"/>
      <c r="V75" s="344" t="str">
        <f t="shared" si="29"/>
        <v/>
      </c>
      <c r="W75" s="339"/>
      <c r="X75" s="363">
        <f>IF(W75&gt;0,W75*0.0036*IF(OR(T75&gt;$J$75,U75&lt;$K$75), 0, IF(T75&lt;$J$75,U75-$J$75,IF($K$75&lt;U75,U75-$K$75,V75)))/V75,0)</f>
        <v>0</v>
      </c>
      <c r="Y75" s="346" t="e" cm="1">
        <f t="array" ref="Y75">IF('Pathway B benchmarks'!C61,INDEX('Pathway B benchmarks'!C61:C63,MATCH(1,($I$7='Pathway B benchmarks'!A61:A63)*($M$75='Pathway B benchmarks'!B61:B63),0),1))</f>
        <v>#N/A</v>
      </c>
      <c r="Z75" s="347" t="e">
        <f t="shared" si="30"/>
        <v>#N/A</v>
      </c>
      <c r="AA75" s="303"/>
      <c r="AB75" s="303"/>
      <c r="AC75" s="344" t="str">
        <f t="shared" si="31"/>
        <v/>
      </c>
      <c r="AD75" s="339"/>
      <c r="AE75" s="364">
        <f>IF(AD75&gt;0,AD75*0.001*IF(OR(AA75&gt;$J$75,AB75&lt;$K$75), 0, IF(AA75&lt;$J$75,AB75-$J$75,IF($K$75&lt;AB75,AB75-$K$75,AC75)))/AC75,0)</f>
        <v>0</v>
      </c>
      <c r="AF75" s="348" t="e" cm="1">
        <f t="array" ref="AF75">IF('Pathway B benchmarks'!F39,INDEX('Pathway B benchmarks'!F39:F56,MATCH(1,($AE$6='Pathway B benchmarks'!A39:A56)*($M$75='Pathway B benchmarks'!B39:B56),0),1))</f>
        <v>#N/A</v>
      </c>
      <c r="AG75" s="349">
        <f t="shared" si="32"/>
        <v>0</v>
      </c>
      <c r="AH75" s="303"/>
      <c r="AI75" s="303"/>
      <c r="AJ75" s="344" t="str">
        <f t="shared" si="33"/>
        <v/>
      </c>
      <c r="AK75" s="339"/>
      <c r="AL75" s="363">
        <f>IF(AK75&gt;0,AK75*26.2*IF(OR(AH75&gt;$J$75,AI75&lt;$K$75), 0, IF(AH75&lt;$J$75,AI75-$J$75,IF($K$75&lt;AI75,AI75-$K$75,AJ75)))/AJ75,0)</f>
        <v>0</v>
      </c>
      <c r="AM75" s="345" t="e" cm="1">
        <f t="array" ref="AM75">IF('Pathway B benchmarks'!F39,INDEX('Pathway B benchmarks'!F39:F56,MATCH(1,($AL$6='Pathway B benchmarks'!A39:A56)*($M$75='Pathway B benchmarks'!B39:B56),0),1))</f>
        <v>#N/A</v>
      </c>
      <c r="AN75" s="347">
        <f t="shared" si="34"/>
        <v>0</v>
      </c>
      <c r="AO75" s="303"/>
      <c r="AP75" s="303"/>
      <c r="AQ75" s="344" t="str">
        <f t="shared" si="35"/>
        <v/>
      </c>
      <c r="AR75" s="339"/>
      <c r="AS75" s="363">
        <f>IF(AR75&gt;0,AR75*38.6*IF(OR(AO75&gt;$J$75,AP75&lt;$K$75), 0, IF(AO75&lt;$J$75,AP75-$J$75,IF($K$75&lt;AP75,AP75-$K$75,AQ75)))/AQ75,0)</f>
        <v>0</v>
      </c>
      <c r="AT75" s="345" t="e" cm="1">
        <f t="array" ref="AT75">IF('Pathway B benchmarks'!F39,INDEX('Pathway B benchmarks'!F39:F56,MATCH(1,($AS$6='Pathway B benchmarks'!A39:A56)*($M$75='Pathway B benchmarks'!B39:B56),0),1))</f>
        <v>#N/A</v>
      </c>
      <c r="AU75" s="347">
        <f t="shared" si="36"/>
        <v>0</v>
      </c>
      <c r="AV75" s="347" t="e">
        <f>IF($I75="","",IF($I75="Custom",0,INDEX('Pathway B benchmarks'!$17:$18,MATCH($I75,'Pathway B benchmarks'!$A$17:$A$18,0),MATCH($S75,'Pathway B benchmarks'!$17:$17,0))))</f>
        <v>#N/A</v>
      </c>
      <c r="AW75" s="347" t="e">
        <f>IF($I75="","",IF($I75="Custom",0,INDEX('Pathway B benchmarks'!$30:$34,2,MATCH($S75,'Pathway B benchmarks'!$30:$30,0))))</f>
        <v>#N/A</v>
      </c>
      <c r="AX75" s="345" t="e">
        <f>IF($AW$75=0,1,$Q$75/$AW$75)*$AV$75</f>
        <v>#N/A</v>
      </c>
      <c r="AY75" s="353" t="e">
        <f>$AX$75/1000*$Y75/0.0036</f>
        <v>#N/A</v>
      </c>
      <c r="AZ75" s="353" t="e">
        <f>$AY$75/70*100</f>
        <v>#N/A</v>
      </c>
      <c r="BA75" s="353" t="e">
        <f t="shared" si="37"/>
        <v>#N/A</v>
      </c>
      <c r="BB75" s="350">
        <f t="shared" si="38"/>
        <v>0</v>
      </c>
      <c r="BC75" s="350" t="e">
        <f t="shared" si="39"/>
        <v>#N/A</v>
      </c>
      <c r="BD75" s="351">
        <f>IF(OR(E75="Whole Building", E75="Hotel", E75="School", E75="Data Centre (Whole facility)", E75="Residential Aged Care", E75="Retirement Living", E75="RAC and retirement (co-located)"),VLOOKUP(BB75,'Points Table'!$B$13:$C$36,2,TRUE),IF(OR(E75="Base Building", E75="Shopping Centre", E75="Apartment", E75="Warehouse and Cold Store", E75="Data Centre (Infrastructure)"),VLOOKUP(BB75,'Points Table'!$E$13:$F$33,2,TRUE),0))</f>
        <v>0</v>
      </c>
      <c r="BE75" s="352" t="str">
        <f>IF(AND($E$75="Whole Building", $BD$75&gt;=10), "YES", IF(AND($E$75="Base Building", $BD$75&gt;=8), "YES", "NO"))</f>
        <v>NO</v>
      </c>
    </row>
    <row r="76" spans="2:57">
      <c r="B76" s="300"/>
      <c r="C76" s="300"/>
      <c r="D76" s="300"/>
      <c r="E76" s="300"/>
      <c r="F76" s="300"/>
      <c r="G76" s="300"/>
      <c r="H76" s="300"/>
      <c r="I76" s="343" t="s">
        <v>943</v>
      </c>
      <c r="J76" s="274"/>
      <c r="K76" s="274"/>
      <c r="L76" s="359">
        <f t="shared" si="27"/>
        <v>1</v>
      </c>
      <c r="M76" s="362">
        <f t="shared" si="28"/>
        <v>1900</v>
      </c>
      <c r="N76" s="300"/>
      <c r="O76" s="300"/>
      <c r="P76" s="300"/>
      <c r="Q76" s="300"/>
      <c r="R76" s="300"/>
      <c r="S76" s="300"/>
      <c r="T76" s="303"/>
      <c r="U76" s="303"/>
      <c r="V76" s="344" t="str">
        <f t="shared" si="29"/>
        <v/>
      </c>
      <c r="W76" s="339"/>
      <c r="X76" s="363">
        <f>IF(W76&gt;0,W76*0.0036*IF(OR(T76&gt;$J$76,U76&lt;$K$76), 0, IF(T76&lt;$J$76,U76-$J$76,IF($K$76&lt;U76,U76-$K$76,V76)))/V76,0)</f>
        <v>0</v>
      </c>
      <c r="Y76" s="346" t="e" cm="1">
        <f t="array" ref="Y76">IF('Pathway B benchmarks'!C61,INDEX('Pathway B benchmarks'!C61:C63,MATCH(1,($I$7='Pathway B benchmarks'!A61:A63)*($M$76='Pathway B benchmarks'!B61:B63),0),1))</f>
        <v>#N/A</v>
      </c>
      <c r="Z76" s="347" t="e">
        <f t="shared" si="30"/>
        <v>#N/A</v>
      </c>
      <c r="AA76" s="303"/>
      <c r="AB76" s="303"/>
      <c r="AC76" s="344" t="str">
        <f t="shared" si="31"/>
        <v/>
      </c>
      <c r="AD76" s="339"/>
      <c r="AE76" s="364">
        <f>IF(AD76&gt;0,AD76*0.001*IF(OR(AA76&gt;$J$76,AB76&lt;$K$76), 0, IF(AA76&lt;$J$76,AB76-$J$76,IF($K$76&lt;AB76,AB76-$K$76,AC76)))/AC76,0)</f>
        <v>0</v>
      </c>
      <c r="AF76" s="348" t="e" cm="1">
        <f t="array" ref="AF76">IF('Pathway B benchmarks'!F39,INDEX('Pathway B benchmarks'!F39:F56,MATCH(1,($AE$6='Pathway B benchmarks'!A39:A56)*($M$76='Pathway B benchmarks'!B39:B56),0),1))</f>
        <v>#N/A</v>
      </c>
      <c r="AG76" s="349">
        <f t="shared" si="32"/>
        <v>0</v>
      </c>
      <c r="AH76" s="303"/>
      <c r="AI76" s="303"/>
      <c r="AJ76" s="344" t="str">
        <f t="shared" si="33"/>
        <v/>
      </c>
      <c r="AK76" s="339"/>
      <c r="AL76" s="363">
        <f>IF(AK76&gt;0,AK76*26.2*IF(OR(AH76&gt;$J$76,AI76&lt;$K$76), 0, IF(AH76&lt;$J$76,AI76-$J$76,IF($K$76&lt;AI76,AI76-$K$76,AJ76)))/AJ76,0)</f>
        <v>0</v>
      </c>
      <c r="AM76" s="345" t="e" cm="1">
        <f t="array" ref="AM76">IF('Pathway B benchmarks'!F39,INDEX('Pathway B benchmarks'!F39:F56,MATCH(1,($AL$6='Pathway B benchmarks'!A39:A56)*($M$76='Pathway B benchmarks'!B39:B56),0),1))</f>
        <v>#N/A</v>
      </c>
      <c r="AN76" s="347">
        <f t="shared" si="34"/>
        <v>0</v>
      </c>
      <c r="AO76" s="303"/>
      <c r="AP76" s="303"/>
      <c r="AQ76" s="344" t="str">
        <f t="shared" si="35"/>
        <v/>
      </c>
      <c r="AR76" s="339"/>
      <c r="AS76" s="363">
        <f>IF(AR76&gt;0,AR76*38.6*IF(OR(AO76&gt;$J$76,AP76&lt;$K$76), 0, IF(AO76&lt;$J$76,AP76-$J$76,IF($K$76&lt;AP76,AP76-$K$76,AQ76)))/AQ76,0)</f>
        <v>0</v>
      </c>
      <c r="AT76" s="345" t="e" cm="1">
        <f t="array" ref="AT76">IF('Pathway B benchmarks'!F39,INDEX('Pathway B benchmarks'!F39:F56,MATCH(1,($AS$6='Pathway B benchmarks'!A39:A56)*($M$76='Pathway B benchmarks'!B39:B56),0),1))</f>
        <v>#N/A</v>
      </c>
      <c r="AU76" s="347">
        <f t="shared" si="36"/>
        <v>0</v>
      </c>
      <c r="AV76" s="347" t="e">
        <f>IF($I76="","",IF($I76="Custom",0,INDEX('Pathway B benchmarks'!$17:$18,MATCH($I76,'Pathway B benchmarks'!$A$17:$A$18,0),MATCH($S76,'Pathway B benchmarks'!$17:$17,0))))</f>
        <v>#N/A</v>
      </c>
      <c r="AW76" s="347" t="e">
        <f>IF($I76="","",IF($I76="Custom",0,INDEX('Pathway B benchmarks'!$30:$34,2,MATCH($S76,'Pathway B benchmarks'!$30:$30,0))))</f>
        <v>#N/A</v>
      </c>
      <c r="AX76" s="345" t="e">
        <f>IF($AW$76=0,1,$Q$76/$AW$76)*$AV$76</f>
        <v>#N/A</v>
      </c>
      <c r="AY76" s="353" t="e">
        <f>$AX$76/1000*$Y76/0.0036</f>
        <v>#N/A</v>
      </c>
      <c r="AZ76" s="353" t="e">
        <f>$AY$76/70*100</f>
        <v>#N/A</v>
      </c>
      <c r="BA76" s="353" t="e">
        <f t="shared" si="37"/>
        <v>#N/A</v>
      </c>
      <c r="BB76" s="350">
        <f t="shared" si="38"/>
        <v>0</v>
      </c>
      <c r="BC76" s="350" t="e">
        <f t="shared" si="39"/>
        <v>#N/A</v>
      </c>
      <c r="BD76" s="351">
        <f>IF(OR(E76="Whole Building", E76="Hotel", E76="School", E76="Data Centre (Whole facility)", E76="Residential Aged Care", E76="Retirement Living", E76="RAC and retirement (co-located)"),VLOOKUP(BB76,'Points Table'!$B$13:$C$36,2,TRUE),IF(OR(E76="Base Building", E76="Shopping Centre", E76="Apartment", E76="Warehouse and Cold Store", E76="Data Centre (Infrastructure)"),VLOOKUP(BB76,'Points Table'!$E$13:$F$33,2,TRUE),0))</f>
        <v>0</v>
      </c>
      <c r="BE76" s="352" t="str">
        <f>IF(AND($E$76="Whole Building", $BD$76&gt;=10), "YES", IF(AND($E$76="Base Building", $BD$76&gt;=8), "YES", "NO"))</f>
        <v>NO</v>
      </c>
    </row>
    <row r="77" spans="2:57">
      <c r="B77" s="300"/>
      <c r="C77" s="300"/>
      <c r="D77" s="300"/>
      <c r="E77" s="300"/>
      <c r="F77" s="300"/>
      <c r="G77" s="300"/>
      <c r="H77" s="300"/>
      <c r="I77" s="343" t="s">
        <v>943</v>
      </c>
      <c r="J77" s="274"/>
      <c r="K77" s="274"/>
      <c r="L77" s="359">
        <f t="shared" si="27"/>
        <v>1</v>
      </c>
      <c r="M77" s="362">
        <f t="shared" si="28"/>
        <v>1900</v>
      </c>
      <c r="N77" s="300"/>
      <c r="O77" s="300"/>
      <c r="P77" s="300"/>
      <c r="Q77" s="300"/>
      <c r="R77" s="300"/>
      <c r="S77" s="300"/>
      <c r="T77" s="303"/>
      <c r="U77" s="303"/>
      <c r="V77" s="344" t="str">
        <f t="shared" si="29"/>
        <v/>
      </c>
      <c r="W77" s="339"/>
      <c r="X77" s="363">
        <f>IF(W77&gt;0,W77*0.0036*IF(OR(T77&gt;$J$77,U77&lt;$K$77), 0, IF(T77&lt;$J$77,U77-$J$77,IF($K$77&lt;U77,U77-$K$77,V77)))/V77,0)</f>
        <v>0</v>
      </c>
      <c r="Y77" s="346" t="e" cm="1">
        <f t="array" ref="Y77">IF('Pathway B benchmarks'!C61,INDEX('Pathway B benchmarks'!C61:C63,MATCH(1,($I$7='Pathway B benchmarks'!A61:A63)*($M$77='Pathway B benchmarks'!B61:B63),0),1))</f>
        <v>#N/A</v>
      </c>
      <c r="Z77" s="347" t="e">
        <f t="shared" si="30"/>
        <v>#N/A</v>
      </c>
      <c r="AA77" s="303"/>
      <c r="AB77" s="303"/>
      <c r="AC77" s="344" t="str">
        <f t="shared" si="31"/>
        <v/>
      </c>
      <c r="AD77" s="339"/>
      <c r="AE77" s="364">
        <f>IF(AD77&gt;0,AD77*0.001*IF(OR(AA77&gt;$J$77,AB77&lt;$K$77), 0, IF(AA77&lt;$J$77,AB77-$J$77,IF($K$77&lt;AB77,AB77-$K$77,AC77)))/AC77,0)</f>
        <v>0</v>
      </c>
      <c r="AF77" s="348" t="e" cm="1">
        <f t="array" ref="AF77">IF('Pathway B benchmarks'!F39,INDEX('Pathway B benchmarks'!F39:F56,MATCH(1,($AE$6='Pathway B benchmarks'!A39:A56)*($M$77='Pathway B benchmarks'!B39:B56),0),1))</f>
        <v>#N/A</v>
      </c>
      <c r="AG77" s="349">
        <f t="shared" si="32"/>
        <v>0</v>
      </c>
      <c r="AH77" s="303"/>
      <c r="AI77" s="303"/>
      <c r="AJ77" s="344" t="str">
        <f t="shared" si="33"/>
        <v/>
      </c>
      <c r="AK77" s="339"/>
      <c r="AL77" s="363">
        <f>IF(AK77&gt;0,AK77*26.2*IF(OR(AH77&gt;$J$77,AI77&lt;$K$77), 0, IF(AH77&lt;$J$77,AI77-$J$77,IF($K$77&lt;AI77,AI77-$K$77,AJ77)))/AJ77,0)</f>
        <v>0</v>
      </c>
      <c r="AM77" s="345" t="e" cm="1">
        <f t="array" ref="AM77">IF('Pathway B benchmarks'!F39,INDEX('Pathway B benchmarks'!F39:F56,MATCH(1,($AL$6='Pathway B benchmarks'!A39:A56)*($M$77='Pathway B benchmarks'!B39:B56),0),1))</f>
        <v>#N/A</v>
      </c>
      <c r="AN77" s="347">
        <f t="shared" si="34"/>
        <v>0</v>
      </c>
      <c r="AO77" s="303"/>
      <c r="AP77" s="303"/>
      <c r="AQ77" s="344" t="str">
        <f t="shared" si="35"/>
        <v/>
      </c>
      <c r="AR77" s="339"/>
      <c r="AS77" s="363">
        <f>IF(AR77&gt;0,AR77*38.6*IF(OR(AO77&gt;$J$77,AP77&lt;$K$77), 0, IF(AO77&lt;$J$77,AP77-$J$77,IF($K$77&lt;AP77,AP77-$K$77,AQ77)))/AQ77,0)</f>
        <v>0</v>
      </c>
      <c r="AT77" s="345" t="e" cm="1">
        <f t="array" ref="AT77">IF('Pathway B benchmarks'!F39,INDEX('Pathway B benchmarks'!F39:F56,MATCH(1,($AS$6='Pathway B benchmarks'!A39:A56)*($M$77='Pathway B benchmarks'!B39:B56),0),1))</f>
        <v>#N/A</v>
      </c>
      <c r="AU77" s="347">
        <f t="shared" si="36"/>
        <v>0</v>
      </c>
      <c r="AV77" s="347" t="e">
        <f>IF($I77="","",IF($I77="Custom",0,INDEX('Pathway B benchmarks'!$17:$18,MATCH($I77,'Pathway B benchmarks'!$A$17:$A$18,0),MATCH($S77,'Pathway B benchmarks'!$17:$17,0))))</f>
        <v>#N/A</v>
      </c>
      <c r="AW77" s="347" t="e">
        <f>IF($I77="","",IF($I77="Custom",0,INDEX('Pathway B benchmarks'!$30:$34,2,MATCH($S77,'Pathway B benchmarks'!$30:$30,0))))</f>
        <v>#N/A</v>
      </c>
      <c r="AX77" s="345" t="e">
        <f>IF($AW$77=0,1,$Q$77/$AW$77)*$AV$77</f>
        <v>#N/A</v>
      </c>
      <c r="AY77" s="353" t="e">
        <f>$AX$77/1000*$Y77/0.0036</f>
        <v>#N/A</v>
      </c>
      <c r="AZ77" s="353" t="e">
        <f>$AY$77/70*100</f>
        <v>#N/A</v>
      </c>
      <c r="BA77" s="353" t="e">
        <f t="shared" si="37"/>
        <v>#N/A</v>
      </c>
      <c r="BB77" s="350">
        <f t="shared" si="38"/>
        <v>0</v>
      </c>
      <c r="BC77" s="350" t="e">
        <f t="shared" si="39"/>
        <v>#N/A</v>
      </c>
      <c r="BD77" s="351">
        <f>IF(OR(E77="Whole Building", E77="Hotel", E77="School", E77="Data Centre (Whole facility)", E77="Residential Aged Care", E77="Retirement Living", E77="RAC and retirement (co-located)"),VLOOKUP(BB77,'Points Table'!$B$13:$C$36,2,TRUE),IF(OR(E77="Base Building", E77="Shopping Centre", E77="Apartment", E77="Warehouse and Cold Store", E77="Data Centre (Infrastructure)"),VLOOKUP(BB77,'Points Table'!$E$13:$F$33,2,TRUE),0))</f>
        <v>0</v>
      </c>
      <c r="BE77" s="352" t="str">
        <f>IF(AND($E$77="Whole Building", $BD$77&gt;=10), "YES", IF(AND($E$77="Base Building", $BD$77&gt;=8), "YES", "NO"))</f>
        <v>NO</v>
      </c>
    </row>
    <row r="78" spans="2:57">
      <c r="B78" s="300"/>
      <c r="C78" s="300"/>
      <c r="D78" s="300"/>
      <c r="E78" s="300"/>
      <c r="F78" s="300"/>
      <c r="G78" s="300"/>
      <c r="H78" s="300"/>
      <c r="I78" s="343" t="s">
        <v>943</v>
      </c>
      <c r="J78" s="274"/>
      <c r="K78" s="274"/>
      <c r="L78" s="359">
        <f t="shared" si="27"/>
        <v>1</v>
      </c>
      <c r="M78" s="362">
        <f t="shared" si="28"/>
        <v>1900</v>
      </c>
      <c r="N78" s="300"/>
      <c r="O78" s="300"/>
      <c r="P78" s="300"/>
      <c r="Q78" s="300"/>
      <c r="R78" s="300"/>
      <c r="S78" s="300"/>
      <c r="T78" s="303"/>
      <c r="U78" s="303"/>
      <c r="V78" s="344" t="str">
        <f t="shared" si="29"/>
        <v/>
      </c>
      <c r="W78" s="339"/>
      <c r="X78" s="363">
        <f>IF(W78&gt;0,W78*0.0036*IF(OR(T78&gt;$J$78,U78&lt;$K$78), 0, IF(T78&lt;$J$78,U78-$J$78,IF($K$78&lt;U78,U78-$K$78,V78)))/V78,0)</f>
        <v>0</v>
      </c>
      <c r="Y78" s="346" t="e" cm="1">
        <f t="array" ref="Y78">IF('Pathway B benchmarks'!C61,INDEX('Pathway B benchmarks'!C61:C63,MATCH(1,($I$7='Pathway B benchmarks'!A61:A63)*($M$78='Pathway B benchmarks'!B61:B63),0),1))</f>
        <v>#N/A</v>
      </c>
      <c r="Z78" s="347" t="e">
        <f t="shared" si="30"/>
        <v>#N/A</v>
      </c>
      <c r="AA78" s="303"/>
      <c r="AB78" s="303"/>
      <c r="AC78" s="344" t="str">
        <f t="shared" si="31"/>
        <v/>
      </c>
      <c r="AD78" s="339"/>
      <c r="AE78" s="364">
        <f>IF(AD78&gt;0,AD78*0.001*IF(OR(AA78&gt;$J$78,AB78&lt;$K$78), 0, IF(AA78&lt;$J$78,AB78-$J$78,IF($K$78&lt;AB78,AB78-$K$78,AC78)))/AC78,0)</f>
        <v>0</v>
      </c>
      <c r="AF78" s="348" t="e" cm="1">
        <f t="array" ref="AF78">IF('Pathway B benchmarks'!F39,INDEX('Pathway B benchmarks'!F39:F56,MATCH(1,($AE$6='Pathway B benchmarks'!A39:A56)*($M$78='Pathway B benchmarks'!B39:B56),0),1))</f>
        <v>#N/A</v>
      </c>
      <c r="AG78" s="349">
        <f t="shared" si="32"/>
        <v>0</v>
      </c>
      <c r="AH78" s="303"/>
      <c r="AI78" s="303"/>
      <c r="AJ78" s="344" t="str">
        <f t="shared" si="33"/>
        <v/>
      </c>
      <c r="AK78" s="339"/>
      <c r="AL78" s="363">
        <f>IF(AK78&gt;0,AK78*26.2*IF(OR(AH78&gt;$J$78,AI78&lt;$K$78), 0, IF(AH78&lt;$J$78,AI78-$J$78,IF($K$78&lt;AI78,AI78-$K$78,AJ78)))/AJ78,0)</f>
        <v>0</v>
      </c>
      <c r="AM78" s="345" t="e" cm="1">
        <f t="array" ref="AM78">IF('Pathway B benchmarks'!F39,INDEX('Pathway B benchmarks'!F39:F56,MATCH(1,($AL$6='Pathway B benchmarks'!A39:A56)*($M$78='Pathway B benchmarks'!B39:B56),0),1))</f>
        <v>#N/A</v>
      </c>
      <c r="AN78" s="347">
        <f t="shared" si="34"/>
        <v>0</v>
      </c>
      <c r="AO78" s="303"/>
      <c r="AP78" s="303"/>
      <c r="AQ78" s="344" t="str">
        <f t="shared" si="35"/>
        <v/>
      </c>
      <c r="AR78" s="339"/>
      <c r="AS78" s="363">
        <f>IF(AR78&gt;0,AR78*38.6*IF(OR(AO78&gt;$J$78,AP78&lt;$K$78), 0, IF(AO78&lt;$J$78,AP78-$J$78,IF($K$78&lt;AP78,AP78-$K$78,AQ78)))/AQ78,0)</f>
        <v>0</v>
      </c>
      <c r="AT78" s="345" t="e" cm="1">
        <f t="array" ref="AT78">IF('Pathway B benchmarks'!F39,INDEX('Pathway B benchmarks'!F39:F56,MATCH(1,($AS$6='Pathway B benchmarks'!A39:A56)*($M$78='Pathway B benchmarks'!B39:B56),0),1))</f>
        <v>#N/A</v>
      </c>
      <c r="AU78" s="347">
        <f t="shared" si="36"/>
        <v>0</v>
      </c>
      <c r="AV78" s="347" t="e">
        <f>IF($I78="","",IF($I78="Custom",0,INDEX('Pathway B benchmarks'!$17:$18,MATCH($I78,'Pathway B benchmarks'!$A$17:$A$18,0),MATCH($S78,'Pathway B benchmarks'!$17:$17,0))))</f>
        <v>#N/A</v>
      </c>
      <c r="AW78" s="347" t="e">
        <f>IF($I78="","",IF($I78="Custom",0,INDEX('Pathway B benchmarks'!$30:$34,2,MATCH($S78,'Pathway B benchmarks'!$30:$30,0))))</f>
        <v>#N/A</v>
      </c>
      <c r="AX78" s="345" t="e">
        <f>IF($AW$78=0,1,$Q$78/$AW$78)*$AV$78</f>
        <v>#N/A</v>
      </c>
      <c r="AY78" s="353" t="e">
        <f>$AX$78/1000*$Y78/0.0036</f>
        <v>#N/A</v>
      </c>
      <c r="AZ78" s="353" t="e">
        <f>$AY$78/70*100</f>
        <v>#N/A</v>
      </c>
      <c r="BA78" s="353" t="e">
        <f t="shared" si="37"/>
        <v>#N/A</v>
      </c>
      <c r="BB78" s="350">
        <f t="shared" si="38"/>
        <v>0</v>
      </c>
      <c r="BC78" s="350" t="e">
        <f t="shared" si="39"/>
        <v>#N/A</v>
      </c>
      <c r="BD78" s="351">
        <f>IF(OR(E78="Whole Building", E78="Hotel", E78="School", E78="Data Centre (Whole facility)", E78="Residential Aged Care", E78="Retirement Living", E78="RAC and retirement (co-located)"),VLOOKUP(BB78,'Points Table'!$B$13:$C$36,2,TRUE),IF(OR(E78="Base Building", E78="Shopping Centre", E78="Apartment", E78="Warehouse and Cold Store", E78="Data Centre (Infrastructure)"),VLOOKUP(BB78,'Points Table'!$E$13:$F$33,2,TRUE),0))</f>
        <v>0</v>
      </c>
      <c r="BE78" s="352" t="str">
        <f>IF(AND($E$78="Whole Building", $BD$78&gt;=10), "YES", IF(AND($E$78="Base Building", $BD$78&gt;=8), "YES", "NO"))</f>
        <v>NO</v>
      </c>
    </row>
    <row r="79" spans="2:57">
      <c r="B79" s="300"/>
      <c r="C79" s="300"/>
      <c r="D79" s="300"/>
      <c r="E79" s="300"/>
      <c r="F79" s="300"/>
      <c r="G79" s="300"/>
      <c r="H79" s="300"/>
      <c r="I79" s="343" t="s">
        <v>943</v>
      </c>
      <c r="J79" s="274"/>
      <c r="K79" s="274"/>
      <c r="L79" s="359">
        <f t="shared" si="27"/>
        <v>1</v>
      </c>
      <c r="M79" s="362">
        <f t="shared" si="28"/>
        <v>1900</v>
      </c>
      <c r="N79" s="300"/>
      <c r="O79" s="300"/>
      <c r="P79" s="300"/>
      <c r="Q79" s="300"/>
      <c r="R79" s="300"/>
      <c r="S79" s="300"/>
      <c r="T79" s="303"/>
      <c r="U79" s="303"/>
      <c r="V79" s="344" t="str">
        <f t="shared" si="29"/>
        <v/>
      </c>
      <c r="W79" s="339"/>
      <c r="X79" s="363">
        <f>IF(W79&gt;0,W79*0.0036*IF(OR(T79&gt;$J$79,U79&lt;$K$79), 0, IF(T79&lt;$J$79,U79-$J$79,IF($K$79&lt;U79,U79-$K$79,V79)))/V79,0)</f>
        <v>0</v>
      </c>
      <c r="Y79" s="346" t="e" cm="1">
        <f t="array" ref="Y79">IF('Pathway B benchmarks'!C61,INDEX('Pathway B benchmarks'!C61:C63,MATCH(1,($I$7='Pathway B benchmarks'!A61:A63)*($M$79='Pathway B benchmarks'!B61:B63),0),1))</f>
        <v>#N/A</v>
      </c>
      <c r="Z79" s="347" t="e">
        <f t="shared" si="30"/>
        <v>#N/A</v>
      </c>
      <c r="AA79" s="303"/>
      <c r="AB79" s="303"/>
      <c r="AC79" s="344" t="str">
        <f t="shared" si="31"/>
        <v/>
      </c>
      <c r="AD79" s="339"/>
      <c r="AE79" s="364">
        <f>IF(AD79&gt;0,AD79*0.001*IF(OR(AA79&gt;$J$79,AB79&lt;$K$79), 0, IF(AA79&lt;$J$79,AB79-$J$79,IF($K$79&lt;AB79,AB79-$K$79,AC79)))/AC79,0)</f>
        <v>0</v>
      </c>
      <c r="AF79" s="348" t="e" cm="1">
        <f t="array" ref="AF79">IF('Pathway B benchmarks'!F39,INDEX('Pathway B benchmarks'!F39:F56,MATCH(1,($AE$6='Pathway B benchmarks'!A39:A56)*($M$79='Pathway B benchmarks'!B39:B56),0),1))</f>
        <v>#N/A</v>
      </c>
      <c r="AG79" s="349">
        <f t="shared" si="32"/>
        <v>0</v>
      </c>
      <c r="AH79" s="303"/>
      <c r="AI79" s="303"/>
      <c r="AJ79" s="344" t="str">
        <f t="shared" si="33"/>
        <v/>
      </c>
      <c r="AK79" s="339"/>
      <c r="AL79" s="363">
        <f>IF(AK79&gt;0,AK79*26.2*IF(OR(AH79&gt;$J$79,AI79&lt;$K$79), 0, IF(AH79&lt;$J$79,AI79-$J$79,IF($K$79&lt;AI79,AI79-$K$79,AJ79)))/AJ79,0)</f>
        <v>0</v>
      </c>
      <c r="AM79" s="345" t="e" cm="1">
        <f t="array" ref="AM79">IF('Pathway B benchmarks'!F39,INDEX('Pathway B benchmarks'!F39:F56,MATCH(1,($AL$6='Pathway B benchmarks'!A39:A56)*($M$79='Pathway B benchmarks'!B39:B56),0),1))</f>
        <v>#N/A</v>
      </c>
      <c r="AN79" s="347">
        <f t="shared" si="34"/>
        <v>0</v>
      </c>
      <c r="AO79" s="303"/>
      <c r="AP79" s="303"/>
      <c r="AQ79" s="344" t="str">
        <f t="shared" si="35"/>
        <v/>
      </c>
      <c r="AR79" s="339"/>
      <c r="AS79" s="363">
        <f>IF(AR79&gt;0,AR79*38.6*IF(OR(AO79&gt;$J$79,AP79&lt;$K$79), 0, IF(AO79&lt;$J$79,AP79-$J$79,IF($K$79&lt;AP79,AP79-$K$79,AQ79)))/AQ79,0)</f>
        <v>0</v>
      </c>
      <c r="AT79" s="345" t="e" cm="1">
        <f t="array" ref="AT79">IF('Pathway B benchmarks'!F39,INDEX('Pathway B benchmarks'!F39:F56,MATCH(1,($AS$6='Pathway B benchmarks'!A39:A56)*($M$79='Pathway B benchmarks'!B39:B56),0),1))</f>
        <v>#N/A</v>
      </c>
      <c r="AU79" s="347">
        <f t="shared" si="36"/>
        <v>0</v>
      </c>
      <c r="AV79" s="347" t="e">
        <f>IF($I79="","",IF($I79="Custom",0,INDEX('Pathway B benchmarks'!$17:$18,MATCH($I79,'Pathway B benchmarks'!$A$17:$A$18,0),MATCH($S79,'Pathway B benchmarks'!$17:$17,0))))</f>
        <v>#N/A</v>
      </c>
      <c r="AW79" s="347" t="e">
        <f>IF($I79="","",IF($I79="Custom",0,INDEX('Pathway B benchmarks'!$30:$34,2,MATCH($S79,'Pathway B benchmarks'!$30:$30,0))))</f>
        <v>#N/A</v>
      </c>
      <c r="AX79" s="345" t="e">
        <f>IF($AW$79=0,1,$Q$79/$AW$79)*$AV$79</f>
        <v>#N/A</v>
      </c>
      <c r="AY79" s="353" t="e">
        <f>$AX$79/1000*$Y79/0.0036</f>
        <v>#N/A</v>
      </c>
      <c r="AZ79" s="353" t="e">
        <f>$AY$79/70*100</f>
        <v>#N/A</v>
      </c>
      <c r="BA79" s="353" t="e">
        <f t="shared" si="37"/>
        <v>#N/A</v>
      </c>
      <c r="BB79" s="350">
        <f t="shared" si="38"/>
        <v>0</v>
      </c>
      <c r="BC79" s="350" t="e">
        <f t="shared" si="39"/>
        <v>#N/A</v>
      </c>
      <c r="BD79" s="351">
        <f>IF(OR(E79="Whole Building", E79="Hotel", E79="School", E79="Data Centre (Whole facility)", E79="Residential Aged Care", E79="Retirement Living", E79="RAC and retirement (co-located)"),VLOOKUP(BB79,'Points Table'!$B$13:$C$36,2,TRUE),IF(OR(E79="Base Building", E79="Shopping Centre", E79="Apartment", E79="Warehouse and Cold Store", E79="Data Centre (Infrastructure)"),VLOOKUP(BB79,'Points Table'!$E$13:$F$33,2,TRUE),0))</f>
        <v>0</v>
      </c>
      <c r="BE79" s="352" t="str">
        <f>IF(AND($E$79="Whole Building", $BD$79&gt;=10), "YES", IF(AND($E$79="Base Building", $BD$79&gt;=8), "YES", "NO"))</f>
        <v>NO</v>
      </c>
    </row>
    <row r="80" spans="2:57">
      <c r="B80" s="300"/>
      <c r="C80" s="300"/>
      <c r="D80" s="300"/>
      <c r="E80" s="300"/>
      <c r="F80" s="300"/>
      <c r="G80" s="300"/>
      <c r="H80" s="300"/>
      <c r="I80" s="343" t="s">
        <v>943</v>
      </c>
      <c r="J80" s="274"/>
      <c r="K80" s="274"/>
      <c r="L80" s="359">
        <f t="shared" si="27"/>
        <v>1</v>
      </c>
      <c r="M80" s="362">
        <f t="shared" si="28"/>
        <v>1900</v>
      </c>
      <c r="N80" s="300"/>
      <c r="O80" s="300"/>
      <c r="P80" s="300"/>
      <c r="Q80" s="300"/>
      <c r="R80" s="300"/>
      <c r="S80" s="300"/>
      <c r="T80" s="303"/>
      <c r="U80" s="303"/>
      <c r="V80" s="344" t="str">
        <f t="shared" si="29"/>
        <v/>
      </c>
      <c r="W80" s="339"/>
      <c r="X80" s="363">
        <f>IF(W80&gt;0,W80*0.0036*IF(OR(T80&gt;$J$80,U80&lt;$K$80), 0, IF(T80&lt;$J$80,U80-$J$80,IF($K$80&lt;U80,U80-$K$80,V80)))/V80,0)</f>
        <v>0</v>
      </c>
      <c r="Y80" s="346" t="e" cm="1">
        <f t="array" ref="Y80">IF('Pathway B benchmarks'!C61,INDEX('Pathway B benchmarks'!C61:C63,MATCH(1,($I$7='Pathway B benchmarks'!A61:A63)*($M$80='Pathway B benchmarks'!B61:B63),0),1))</f>
        <v>#N/A</v>
      </c>
      <c r="Z80" s="347" t="e">
        <f t="shared" si="30"/>
        <v>#N/A</v>
      </c>
      <c r="AA80" s="303"/>
      <c r="AB80" s="303"/>
      <c r="AC80" s="344" t="str">
        <f t="shared" si="31"/>
        <v/>
      </c>
      <c r="AD80" s="339"/>
      <c r="AE80" s="364">
        <f>IF(AD80&gt;0,AD80*0.001*IF(OR(AA80&gt;$J$80,AB80&lt;$K$80), 0, IF(AA80&lt;$J$80,AB80-$J$80,IF($K$80&lt;AB80,AB80-$K$80,AC80)))/AC80,0)</f>
        <v>0</v>
      </c>
      <c r="AF80" s="348" t="e" cm="1">
        <f t="array" ref="AF80">IF('Pathway B benchmarks'!F39,INDEX('Pathway B benchmarks'!F39:F56,MATCH(1,($AE$6='Pathway B benchmarks'!A39:A56)*($M$80='Pathway B benchmarks'!B39:B56),0),1))</f>
        <v>#N/A</v>
      </c>
      <c r="AG80" s="349">
        <f t="shared" si="32"/>
        <v>0</v>
      </c>
      <c r="AH80" s="303"/>
      <c r="AI80" s="303"/>
      <c r="AJ80" s="344" t="str">
        <f t="shared" si="33"/>
        <v/>
      </c>
      <c r="AK80" s="339"/>
      <c r="AL80" s="363">
        <f>IF(AK80&gt;0,AK80*26.2*IF(OR(AH80&gt;$J$80,AI80&lt;$K$80), 0, IF(AH80&lt;$J$80,AI80-$J$80,IF($K$80&lt;AI80,AI80-$K$80,AJ80)))/AJ80,0)</f>
        <v>0</v>
      </c>
      <c r="AM80" s="345" t="e" cm="1">
        <f t="array" ref="AM80">IF('Pathway B benchmarks'!F39,INDEX('Pathway B benchmarks'!F39:F56,MATCH(1,($AL$6='Pathway B benchmarks'!A39:A56)*($M$80='Pathway B benchmarks'!B39:B56),0),1))</f>
        <v>#N/A</v>
      </c>
      <c r="AN80" s="347">
        <f t="shared" si="34"/>
        <v>0</v>
      </c>
      <c r="AO80" s="303"/>
      <c r="AP80" s="303"/>
      <c r="AQ80" s="344" t="str">
        <f t="shared" si="35"/>
        <v/>
      </c>
      <c r="AR80" s="339"/>
      <c r="AS80" s="363">
        <f>IF(AR80&gt;0,AR80*38.6*IF(OR(AO80&gt;$J$80,AP80&lt;$K$80), 0, IF(AO80&lt;$J$80,AP80-$J$80,IF($K$80&lt;AP80,AP80-$K$80,AQ80)))/AQ80,0)</f>
        <v>0</v>
      </c>
      <c r="AT80" s="345" t="e" cm="1">
        <f t="array" ref="AT80">IF('Pathway B benchmarks'!F39,INDEX('Pathway B benchmarks'!F39:F56,MATCH(1,($AS$6='Pathway B benchmarks'!A39:A56)*($M$80='Pathway B benchmarks'!B39:B56),0),1))</f>
        <v>#N/A</v>
      </c>
      <c r="AU80" s="347">
        <f t="shared" si="36"/>
        <v>0</v>
      </c>
      <c r="AV80" s="347" t="e">
        <f>IF($I80="","",IF($I80="Custom",0,INDEX('Pathway B benchmarks'!$17:$18,MATCH($I80,'Pathway B benchmarks'!$A$17:$A$18,0),MATCH($S80,'Pathway B benchmarks'!$17:$17,0))))</f>
        <v>#N/A</v>
      </c>
      <c r="AW80" s="347" t="e">
        <f>IF($I80="","",IF($I80="Custom",0,INDEX('Pathway B benchmarks'!$30:$34,2,MATCH($S80,'Pathway B benchmarks'!$30:$30,0))))</f>
        <v>#N/A</v>
      </c>
      <c r="AX80" s="345" t="e">
        <f>IF($AW$80=0,1,$Q$80/$AW$80)*$AV$80</f>
        <v>#N/A</v>
      </c>
      <c r="AY80" s="353" t="e">
        <f>$AX$80/1000*$Y80/0.0036</f>
        <v>#N/A</v>
      </c>
      <c r="AZ80" s="353" t="e">
        <f>$AY$80/70*100</f>
        <v>#N/A</v>
      </c>
      <c r="BA80" s="353" t="e">
        <f t="shared" si="37"/>
        <v>#N/A</v>
      </c>
      <c r="BB80" s="350">
        <f t="shared" si="38"/>
        <v>0</v>
      </c>
      <c r="BC80" s="350" t="e">
        <f t="shared" si="39"/>
        <v>#N/A</v>
      </c>
      <c r="BD80" s="351">
        <f>IF(OR(E80="Whole Building", E80="Hotel", E80="School", E80="Data Centre (Whole facility)", E80="Residential Aged Care", E80="Retirement Living", E80="RAC and retirement (co-located)"),VLOOKUP(BB80,'Points Table'!$B$13:$C$36,2,TRUE),IF(OR(E80="Base Building", E80="Shopping Centre", E80="Apartment", E80="Warehouse and Cold Store", E80="Data Centre (Infrastructure)"),VLOOKUP(BB80,'Points Table'!$E$13:$F$33,2,TRUE),0))</f>
        <v>0</v>
      </c>
      <c r="BE80" s="352" t="str">
        <f>IF(AND($E$80="Whole Building", $BD$80&gt;=10), "YES", IF(AND($E$80="Base Building", $BD$80&gt;=8), "YES", "NO"))</f>
        <v>NO</v>
      </c>
    </row>
    <row r="81" spans="2:57">
      <c r="B81" s="300"/>
      <c r="C81" s="300"/>
      <c r="D81" s="300"/>
      <c r="E81" s="300"/>
      <c r="F81" s="300"/>
      <c r="G81" s="300"/>
      <c r="H81" s="300"/>
      <c r="I81" s="343" t="s">
        <v>943</v>
      </c>
      <c r="J81" s="274"/>
      <c r="K81" s="274"/>
      <c r="L81" s="359">
        <f t="shared" si="27"/>
        <v>1</v>
      </c>
      <c r="M81" s="362">
        <f t="shared" si="28"/>
        <v>1900</v>
      </c>
      <c r="N81" s="300"/>
      <c r="O81" s="300"/>
      <c r="P81" s="300"/>
      <c r="Q81" s="300"/>
      <c r="R81" s="300"/>
      <c r="S81" s="300"/>
      <c r="T81" s="303"/>
      <c r="U81" s="303"/>
      <c r="V81" s="344" t="str">
        <f t="shared" si="29"/>
        <v/>
      </c>
      <c r="W81" s="339"/>
      <c r="X81" s="363">
        <f>IF(W81&gt;0,W81*0.0036*IF(OR(T81&gt;$J$81,U81&lt;$K$81), 0, IF(T81&lt;$J$81,U81-$J$81,IF($K$81&lt;U81,U81-$K$81,V81)))/V81,0)</f>
        <v>0</v>
      </c>
      <c r="Y81" s="346" t="e" cm="1">
        <f t="array" ref="Y81">IF('Pathway B benchmarks'!C61,INDEX('Pathway B benchmarks'!C61:C63,MATCH(1,($I$7='Pathway B benchmarks'!A61:A63)*($M$81='Pathway B benchmarks'!B61:B63),0),1))</f>
        <v>#N/A</v>
      </c>
      <c r="Z81" s="347" t="e">
        <f t="shared" si="30"/>
        <v>#N/A</v>
      </c>
      <c r="AA81" s="303"/>
      <c r="AB81" s="303"/>
      <c r="AC81" s="344" t="str">
        <f t="shared" si="31"/>
        <v/>
      </c>
      <c r="AD81" s="339"/>
      <c r="AE81" s="364">
        <f>IF(AD81&gt;0,AD81*0.001*IF(OR(AA81&gt;$J$81,AB81&lt;$K$81), 0, IF(AA81&lt;$J$81,AB81-$J$81,IF($K$81&lt;AB81,AB81-$K$81,AC81)))/AC81,0)</f>
        <v>0</v>
      </c>
      <c r="AF81" s="348" t="e" cm="1">
        <f t="array" ref="AF81">IF('Pathway B benchmarks'!F39,INDEX('Pathway B benchmarks'!F39:F56,MATCH(1,($AE$6='Pathway B benchmarks'!A39:A56)*($M$81='Pathway B benchmarks'!B39:B56),0),1))</f>
        <v>#N/A</v>
      </c>
      <c r="AG81" s="349">
        <f t="shared" si="32"/>
        <v>0</v>
      </c>
      <c r="AH81" s="303"/>
      <c r="AI81" s="303"/>
      <c r="AJ81" s="344" t="str">
        <f t="shared" si="33"/>
        <v/>
      </c>
      <c r="AK81" s="339"/>
      <c r="AL81" s="363">
        <f>IF(AK81&gt;0,AK81*26.2*IF(OR(AH81&gt;$J$81,AI81&lt;$K$81), 0, IF(AH81&lt;$J$81,AI81-$J$81,IF($K$81&lt;AI81,AI81-$K$81,AJ81)))/AJ81,0)</f>
        <v>0</v>
      </c>
      <c r="AM81" s="345" t="e" cm="1">
        <f t="array" ref="AM81">IF('Pathway B benchmarks'!F39,INDEX('Pathway B benchmarks'!F39:F56,MATCH(1,($AL$6='Pathway B benchmarks'!A39:A56)*($M$81='Pathway B benchmarks'!B39:B56),0),1))</f>
        <v>#N/A</v>
      </c>
      <c r="AN81" s="347">
        <f t="shared" si="34"/>
        <v>0</v>
      </c>
      <c r="AO81" s="303"/>
      <c r="AP81" s="303"/>
      <c r="AQ81" s="344" t="str">
        <f t="shared" si="35"/>
        <v/>
      </c>
      <c r="AR81" s="339"/>
      <c r="AS81" s="363">
        <f>IF(AR81&gt;0,AR81*38.6*IF(OR(AO81&gt;$J$81,AP81&lt;$K$81), 0, IF(AO81&lt;$J$81,AP81-$J$81,IF($K$81&lt;AP81,AP81-$K$81,AQ81)))/AQ81,0)</f>
        <v>0</v>
      </c>
      <c r="AT81" s="345" t="e" cm="1">
        <f t="array" ref="AT81">IF('Pathway B benchmarks'!F39,INDEX('Pathway B benchmarks'!F39:F56,MATCH(1,($AS$6='Pathway B benchmarks'!A39:A56)*($M$81='Pathway B benchmarks'!B39:B56),0),1))</f>
        <v>#N/A</v>
      </c>
      <c r="AU81" s="347">
        <f t="shared" si="36"/>
        <v>0</v>
      </c>
      <c r="AV81" s="347" t="e">
        <f>IF($I81="","",IF($I81="Custom",0,INDEX('Pathway B benchmarks'!$17:$18,MATCH($I81,'Pathway B benchmarks'!$A$17:$A$18,0),MATCH($S81,'Pathway B benchmarks'!$17:$17,0))))</f>
        <v>#N/A</v>
      </c>
      <c r="AW81" s="347" t="e">
        <f>IF($I81="","",IF($I81="Custom",0,INDEX('Pathway B benchmarks'!$30:$34,2,MATCH($S81,'Pathway B benchmarks'!$30:$30,0))))</f>
        <v>#N/A</v>
      </c>
      <c r="AX81" s="345" t="e">
        <f>IF($AW$81=0,1,$Q$81/$AW$81)*$AV$81</f>
        <v>#N/A</v>
      </c>
      <c r="AY81" s="353" t="e">
        <f>$AX$81/1000*$Y81/0.0036</f>
        <v>#N/A</v>
      </c>
      <c r="AZ81" s="353" t="e">
        <f>$AY$81/70*100</f>
        <v>#N/A</v>
      </c>
      <c r="BA81" s="353" t="e">
        <f t="shared" si="37"/>
        <v>#N/A</v>
      </c>
      <c r="BB81" s="350">
        <f t="shared" si="38"/>
        <v>0</v>
      </c>
      <c r="BC81" s="350" t="e">
        <f t="shared" si="39"/>
        <v>#N/A</v>
      </c>
      <c r="BD81" s="351">
        <f>IF(OR(E81="Whole Building", E81="Hotel", E81="School", E81="Data Centre (Whole facility)", E81="Residential Aged Care", E81="Retirement Living", E81="RAC and retirement (co-located)"),VLOOKUP(BB81,'Points Table'!$B$13:$C$36,2,TRUE),IF(OR(E81="Base Building", E81="Shopping Centre", E81="Apartment", E81="Warehouse and Cold Store", E81="Data Centre (Infrastructure)"),VLOOKUP(BB81,'Points Table'!$E$13:$F$33,2,TRUE),0))</f>
        <v>0</v>
      </c>
      <c r="BE81" s="352" t="str">
        <f>IF(AND($E$81="Whole Building", $BD$81&gt;=10), "YES", IF(AND($E$81="Base Building", $BD$81&gt;=8), "YES", "NO"))</f>
        <v>NO</v>
      </c>
    </row>
    <row r="82" spans="2:57">
      <c r="B82" s="300"/>
      <c r="C82" s="300"/>
      <c r="D82" s="300"/>
      <c r="E82" s="300"/>
      <c r="F82" s="300"/>
      <c r="G82" s="300"/>
      <c r="H82" s="300"/>
      <c r="I82" s="343" t="s">
        <v>943</v>
      </c>
      <c r="J82" s="274"/>
      <c r="K82" s="274"/>
      <c r="L82" s="359">
        <f t="shared" si="27"/>
        <v>1</v>
      </c>
      <c r="M82" s="362">
        <f t="shared" si="28"/>
        <v>1900</v>
      </c>
      <c r="N82" s="300"/>
      <c r="O82" s="300"/>
      <c r="P82" s="300"/>
      <c r="Q82" s="300"/>
      <c r="R82" s="300"/>
      <c r="S82" s="300"/>
      <c r="T82" s="303"/>
      <c r="U82" s="303"/>
      <c r="V82" s="344" t="str">
        <f t="shared" si="29"/>
        <v/>
      </c>
      <c r="W82" s="339"/>
      <c r="X82" s="363">
        <f>IF(W82&gt;0,W82*0.0036*IF(OR(T82&gt;$J$82,U82&lt;$K$82), 0, IF(T82&lt;$J$82,U82-$J$82,IF($K$82&lt;U82,U82-$K$82,V82)))/V82,0)</f>
        <v>0</v>
      </c>
      <c r="Y82" s="346" t="e" cm="1">
        <f t="array" ref="Y82">IF('Pathway B benchmarks'!C61,INDEX('Pathway B benchmarks'!C61:C63,MATCH(1,($I$7='Pathway B benchmarks'!A61:A63)*($M$82='Pathway B benchmarks'!B61:B63),0),1))</f>
        <v>#N/A</v>
      </c>
      <c r="Z82" s="347" t="e">
        <f t="shared" si="30"/>
        <v>#N/A</v>
      </c>
      <c r="AA82" s="303"/>
      <c r="AB82" s="303"/>
      <c r="AC82" s="344" t="str">
        <f t="shared" si="31"/>
        <v/>
      </c>
      <c r="AD82" s="339"/>
      <c r="AE82" s="364">
        <f>IF(AD82&gt;0,AD82*0.001*IF(OR(AA82&gt;$J$82,AB82&lt;$K$82), 0, IF(AA82&lt;$J$82,AB82-$J$82,IF($K$82&lt;AB82,AB82-$K$82,AC82)))/AC82,0)</f>
        <v>0</v>
      </c>
      <c r="AF82" s="348" t="e" cm="1">
        <f t="array" ref="AF82">IF('Pathway B benchmarks'!F39,INDEX('Pathway B benchmarks'!F39:F56,MATCH(1,($AE$6='Pathway B benchmarks'!A39:A56)*($M$82='Pathway B benchmarks'!B39:B56),0),1))</f>
        <v>#N/A</v>
      </c>
      <c r="AG82" s="349">
        <f t="shared" si="32"/>
        <v>0</v>
      </c>
      <c r="AH82" s="303"/>
      <c r="AI82" s="303"/>
      <c r="AJ82" s="344" t="str">
        <f t="shared" si="33"/>
        <v/>
      </c>
      <c r="AK82" s="339"/>
      <c r="AL82" s="363">
        <f>IF(AK82&gt;0,AK82*26.2*IF(OR(AH82&gt;$J$82,AI82&lt;$K$82), 0, IF(AH82&lt;$J$82,AI82-$J$82,IF($K$82&lt;AI82,AI82-$K$82,AJ82)))/AJ82,0)</f>
        <v>0</v>
      </c>
      <c r="AM82" s="345" t="e" cm="1">
        <f t="array" ref="AM82">IF('Pathway B benchmarks'!F39,INDEX('Pathway B benchmarks'!F39:F56,MATCH(1,($AL$6='Pathway B benchmarks'!A39:A56)*($M$82='Pathway B benchmarks'!B39:B56),0),1))</f>
        <v>#N/A</v>
      </c>
      <c r="AN82" s="347">
        <f t="shared" si="34"/>
        <v>0</v>
      </c>
      <c r="AO82" s="303"/>
      <c r="AP82" s="303"/>
      <c r="AQ82" s="344" t="str">
        <f t="shared" si="35"/>
        <v/>
      </c>
      <c r="AR82" s="339"/>
      <c r="AS82" s="363">
        <f>IF(AR82&gt;0,AR82*38.6*IF(OR(AO82&gt;$J$82,AP82&lt;$K$82), 0, IF(AO82&lt;$J$82,AP82-$J$82,IF($K$82&lt;AP82,AP82-$K$82,AQ82)))/AQ82,0)</f>
        <v>0</v>
      </c>
      <c r="AT82" s="345" t="e" cm="1">
        <f t="array" ref="AT82">IF('Pathway B benchmarks'!F39,INDEX('Pathway B benchmarks'!F39:F56,MATCH(1,($AS$6='Pathway B benchmarks'!A39:A56)*($M$82='Pathway B benchmarks'!B39:B56),0),1))</f>
        <v>#N/A</v>
      </c>
      <c r="AU82" s="347">
        <f t="shared" si="36"/>
        <v>0</v>
      </c>
      <c r="AV82" s="347" t="e">
        <f>IF($I82="","",IF($I82="Custom",0,INDEX('Pathway B benchmarks'!$17:$18,MATCH($I82,'Pathway B benchmarks'!$A$17:$A$18,0),MATCH($S82,'Pathway B benchmarks'!$17:$17,0))))</f>
        <v>#N/A</v>
      </c>
      <c r="AW82" s="347" t="e">
        <f>IF($I82="","",IF($I82="Custom",0,INDEX('Pathway B benchmarks'!$30:$34,2,MATCH($S82,'Pathway B benchmarks'!$30:$30,0))))</f>
        <v>#N/A</v>
      </c>
      <c r="AX82" s="345" t="e">
        <f>IF($AW$82=0,1,$Q$82/$AW$82)*$AV$82</f>
        <v>#N/A</v>
      </c>
      <c r="AY82" s="353" t="e">
        <f>$AX$82/1000*$Y82/0.0036</f>
        <v>#N/A</v>
      </c>
      <c r="AZ82" s="353" t="e">
        <f>$AY$82/70*100</f>
        <v>#N/A</v>
      </c>
      <c r="BA82" s="353" t="e">
        <f t="shared" si="37"/>
        <v>#N/A</v>
      </c>
      <c r="BB82" s="350">
        <f t="shared" si="38"/>
        <v>0</v>
      </c>
      <c r="BC82" s="350" t="e">
        <f t="shared" si="39"/>
        <v>#N/A</v>
      </c>
      <c r="BD82" s="351">
        <f>IF(OR(E82="Whole Building", E82="Hotel", E82="School", E82="Data Centre (Whole facility)", E82="Residential Aged Care", E82="Retirement Living", E82="RAC and retirement (co-located)"),VLOOKUP(BB82,'Points Table'!$B$13:$C$36,2,TRUE),IF(OR(E82="Base Building", E82="Shopping Centre", E82="Apartment", E82="Warehouse and Cold Store", E82="Data Centre (Infrastructure)"),VLOOKUP(BB82,'Points Table'!$E$13:$F$33,2,TRUE),0))</f>
        <v>0</v>
      </c>
      <c r="BE82" s="352" t="str">
        <f>IF(AND($E$82="Whole Building", $BD$82&gt;=10), "YES", IF(AND($E$82="Base Building", $BD$82&gt;=8), "YES", "NO"))</f>
        <v>NO</v>
      </c>
    </row>
    <row r="83" spans="2:57">
      <c r="B83" s="300"/>
      <c r="C83" s="300"/>
      <c r="D83" s="300"/>
      <c r="E83" s="300"/>
      <c r="F83" s="300"/>
      <c r="G83" s="300"/>
      <c r="H83" s="300"/>
      <c r="I83" s="343" t="s">
        <v>943</v>
      </c>
      <c r="J83" s="274"/>
      <c r="K83" s="274"/>
      <c r="L83" s="359">
        <f t="shared" si="27"/>
        <v>1</v>
      </c>
      <c r="M83" s="362">
        <f t="shared" si="28"/>
        <v>1900</v>
      </c>
      <c r="N83" s="300"/>
      <c r="O83" s="300"/>
      <c r="P83" s="300"/>
      <c r="Q83" s="300"/>
      <c r="R83" s="300"/>
      <c r="S83" s="300"/>
      <c r="T83" s="303"/>
      <c r="U83" s="303"/>
      <c r="V83" s="344" t="str">
        <f t="shared" si="29"/>
        <v/>
      </c>
      <c r="W83" s="339"/>
      <c r="X83" s="363">
        <f>IF(W83&gt;0,W83*0.0036*IF(OR(T83&gt;$J$83,U83&lt;$K$83), 0, IF(T83&lt;$J$83,U83-$J$83,IF($K$83&lt;U83,U83-$K$83,V83)))/V83,0)</f>
        <v>0</v>
      </c>
      <c r="Y83" s="346" t="e" cm="1">
        <f t="array" ref="Y83">IF('Pathway B benchmarks'!C61,INDEX('Pathway B benchmarks'!C61:C63,MATCH(1,($I$7='Pathway B benchmarks'!A61:A63)*($M$83='Pathway B benchmarks'!B61:B63),0),1))</f>
        <v>#N/A</v>
      </c>
      <c r="Z83" s="347" t="e">
        <f t="shared" si="30"/>
        <v>#N/A</v>
      </c>
      <c r="AA83" s="303"/>
      <c r="AB83" s="303"/>
      <c r="AC83" s="344" t="str">
        <f t="shared" si="31"/>
        <v/>
      </c>
      <c r="AD83" s="339"/>
      <c r="AE83" s="364">
        <f>IF(AD83&gt;0,AD83*0.001*IF(OR(AA83&gt;$J$83,AB83&lt;$K$83), 0, IF(AA83&lt;$J$83,AB83-$J$83,IF($K$83&lt;AB83,AB83-$K$83,AC83)))/AC83,0)</f>
        <v>0</v>
      </c>
      <c r="AF83" s="348" t="e" cm="1">
        <f t="array" ref="AF83">IF('Pathway B benchmarks'!F39,INDEX('Pathway B benchmarks'!F39:F56,MATCH(1,($AE$6='Pathway B benchmarks'!A39:A56)*($M$83='Pathway B benchmarks'!B39:B56),0),1))</f>
        <v>#N/A</v>
      </c>
      <c r="AG83" s="349">
        <f t="shared" si="32"/>
        <v>0</v>
      </c>
      <c r="AH83" s="303"/>
      <c r="AI83" s="303"/>
      <c r="AJ83" s="344" t="str">
        <f t="shared" si="33"/>
        <v/>
      </c>
      <c r="AK83" s="339"/>
      <c r="AL83" s="363">
        <f>IF(AK83&gt;0,AK83*26.2*IF(OR(AH83&gt;$J$83,AI83&lt;$K$83), 0, IF(AH83&lt;$J$83,AI83-$J$83,IF($K$83&lt;AI83,AI83-$K$83,AJ83)))/AJ83,0)</f>
        <v>0</v>
      </c>
      <c r="AM83" s="345" t="e" cm="1">
        <f t="array" ref="AM83">IF('Pathway B benchmarks'!F39,INDEX('Pathway B benchmarks'!F39:F56,MATCH(1,($AL$6='Pathway B benchmarks'!A39:A56)*($M$83='Pathway B benchmarks'!B39:B56),0),1))</f>
        <v>#N/A</v>
      </c>
      <c r="AN83" s="347">
        <f t="shared" si="34"/>
        <v>0</v>
      </c>
      <c r="AO83" s="303"/>
      <c r="AP83" s="303"/>
      <c r="AQ83" s="344" t="str">
        <f t="shared" si="35"/>
        <v/>
      </c>
      <c r="AR83" s="339"/>
      <c r="AS83" s="363">
        <f>IF(AR83&gt;0,AR83*38.6*IF(OR(AO83&gt;$J$83,AP83&lt;$K$83), 0, IF(AO83&lt;$J$83,AP83-$J$83,IF($K$83&lt;AP83,AP83-$K$83,AQ83)))/AQ83,0)</f>
        <v>0</v>
      </c>
      <c r="AT83" s="345" t="e" cm="1">
        <f t="array" ref="AT83">IF('Pathway B benchmarks'!F39,INDEX('Pathway B benchmarks'!F39:F56,MATCH(1,($AS$6='Pathway B benchmarks'!A39:A56)*($M$83='Pathway B benchmarks'!B39:B56),0),1))</f>
        <v>#N/A</v>
      </c>
      <c r="AU83" s="347">
        <f t="shared" si="36"/>
        <v>0</v>
      </c>
      <c r="AV83" s="347" t="e">
        <f>IF($I83="","",IF($I83="Custom",0,INDEX('Pathway B benchmarks'!$17:$18,MATCH($I83,'Pathway B benchmarks'!$A$17:$A$18,0),MATCH($S83,'Pathway B benchmarks'!$17:$17,0))))</f>
        <v>#N/A</v>
      </c>
      <c r="AW83" s="347" t="e">
        <f>IF($I83="","",IF($I83="Custom",0,INDEX('Pathway B benchmarks'!$30:$34,2,MATCH($S83,'Pathway B benchmarks'!$30:$30,0))))</f>
        <v>#N/A</v>
      </c>
      <c r="AX83" s="345" t="e">
        <f>IF($AW$83=0,1,$Q$83/$AW$83)*$AV$83</f>
        <v>#N/A</v>
      </c>
      <c r="AY83" s="353" t="e">
        <f>$AX$83/1000*$Y83/0.0036</f>
        <v>#N/A</v>
      </c>
      <c r="AZ83" s="353" t="e">
        <f>$AY$83/70*100</f>
        <v>#N/A</v>
      </c>
      <c r="BA83" s="353" t="e">
        <f t="shared" si="37"/>
        <v>#N/A</v>
      </c>
      <c r="BB83" s="350">
        <f t="shared" si="38"/>
        <v>0</v>
      </c>
      <c r="BC83" s="350" t="e">
        <f t="shared" si="39"/>
        <v>#N/A</v>
      </c>
      <c r="BD83" s="351">
        <f>IF(OR(E83="Whole Building", E83="Hotel", E83="School", E83="Data Centre (Whole facility)", E83="Residential Aged Care", E83="Retirement Living", E83="RAC and retirement (co-located)"),VLOOKUP(BB83,'Points Table'!$B$13:$C$36,2,TRUE),IF(OR(E83="Base Building", E83="Shopping Centre", E83="Apartment", E83="Warehouse and Cold Store", E83="Data Centre (Infrastructure)"),VLOOKUP(BB83,'Points Table'!$E$13:$F$33,2,TRUE),0))</f>
        <v>0</v>
      </c>
      <c r="BE83" s="352" t="str">
        <f>IF(AND($E$83="Whole Building", $BD$83&gt;=10), "YES", IF(AND($E$83="Base Building", $BD$83&gt;=8), "YES", "NO"))</f>
        <v>NO</v>
      </c>
    </row>
    <row r="84" spans="2:57">
      <c r="B84" s="300"/>
      <c r="C84" s="300"/>
      <c r="D84" s="300"/>
      <c r="E84" s="300"/>
      <c r="F84" s="300"/>
      <c r="G84" s="300"/>
      <c r="H84" s="300"/>
      <c r="I84" s="343" t="s">
        <v>943</v>
      </c>
      <c r="J84" s="274"/>
      <c r="K84" s="274"/>
      <c r="L84" s="359">
        <f t="shared" si="27"/>
        <v>1</v>
      </c>
      <c r="M84" s="362">
        <f t="shared" si="28"/>
        <v>1900</v>
      </c>
      <c r="N84" s="300"/>
      <c r="O84" s="300"/>
      <c r="P84" s="300"/>
      <c r="Q84" s="300"/>
      <c r="R84" s="300"/>
      <c r="S84" s="300"/>
      <c r="T84" s="303"/>
      <c r="U84" s="303"/>
      <c r="V84" s="344" t="str">
        <f t="shared" si="29"/>
        <v/>
      </c>
      <c r="W84" s="339"/>
      <c r="X84" s="363">
        <f>IF(W84&gt;0,W84*0.0036*IF(OR(T84&gt;$J$84,U84&lt;$K$84), 0, IF(T84&lt;$J$84,U84-$J$84,IF($K$84&lt;U84,U84-$K$84,V84)))/V84,0)</f>
        <v>0</v>
      </c>
      <c r="Y84" s="346" t="e" cm="1">
        <f t="array" ref="Y84">IF('Pathway B benchmarks'!C61,INDEX('Pathway B benchmarks'!C61:C63,MATCH(1,($I$7='Pathway B benchmarks'!A61:A63)*($M$84='Pathway B benchmarks'!B61:B63),0),1))</f>
        <v>#N/A</v>
      </c>
      <c r="Z84" s="347" t="e">
        <f t="shared" si="30"/>
        <v>#N/A</v>
      </c>
      <c r="AA84" s="303"/>
      <c r="AB84" s="303"/>
      <c r="AC84" s="344" t="str">
        <f t="shared" si="31"/>
        <v/>
      </c>
      <c r="AD84" s="339"/>
      <c r="AE84" s="364">
        <f>IF(AD84&gt;0,AD84*0.001*IF(OR(AA84&gt;$J$84,AB84&lt;$K$84), 0, IF(AA84&lt;$J$84,AB84-$J$84,IF($K$84&lt;AB84,AB84-$K$84,AC84)))/AC84,0)</f>
        <v>0</v>
      </c>
      <c r="AF84" s="348" t="e" cm="1">
        <f t="array" ref="AF84">IF('Pathway B benchmarks'!F39,INDEX('Pathway B benchmarks'!F39:F56,MATCH(1,($AE$6='Pathway B benchmarks'!A39:A56)*($M$84='Pathway B benchmarks'!B39:B56),0),1))</f>
        <v>#N/A</v>
      </c>
      <c r="AG84" s="349">
        <f t="shared" si="32"/>
        <v>0</v>
      </c>
      <c r="AH84" s="303"/>
      <c r="AI84" s="303"/>
      <c r="AJ84" s="344" t="str">
        <f t="shared" si="33"/>
        <v/>
      </c>
      <c r="AK84" s="339"/>
      <c r="AL84" s="363">
        <f>IF(AK84&gt;0,AK84*26.2*IF(OR(AH84&gt;$J$84,AI84&lt;$K$84), 0, IF(AH84&lt;$J$84,AI84-$J$84,IF($K$84&lt;AI84,AI84-$K$84,AJ84)))/AJ84,0)</f>
        <v>0</v>
      </c>
      <c r="AM84" s="345" t="e" cm="1">
        <f t="array" ref="AM84">IF('Pathway B benchmarks'!F39,INDEX('Pathway B benchmarks'!F39:F56,MATCH(1,($AL$6='Pathway B benchmarks'!A39:A56)*($M$84='Pathway B benchmarks'!B39:B56),0),1))</f>
        <v>#N/A</v>
      </c>
      <c r="AN84" s="347">
        <f t="shared" si="34"/>
        <v>0</v>
      </c>
      <c r="AO84" s="303"/>
      <c r="AP84" s="303"/>
      <c r="AQ84" s="344" t="str">
        <f t="shared" si="35"/>
        <v/>
      </c>
      <c r="AR84" s="339"/>
      <c r="AS84" s="363">
        <f>IF(AR84&gt;0,AR84*38.6*IF(OR(AO84&gt;$J$84,AP84&lt;$K$84), 0, IF(AO84&lt;$J$84,AP84-$J$84,IF($K$84&lt;AP84,AP84-$K$84,AQ84)))/AQ84,0)</f>
        <v>0</v>
      </c>
      <c r="AT84" s="345" t="e" cm="1">
        <f t="array" ref="AT84">IF('Pathway B benchmarks'!F39,INDEX('Pathway B benchmarks'!F39:F56,MATCH(1,($AS$6='Pathway B benchmarks'!A39:A56)*($M$84='Pathway B benchmarks'!B39:B56),0),1))</f>
        <v>#N/A</v>
      </c>
      <c r="AU84" s="347">
        <f t="shared" si="36"/>
        <v>0</v>
      </c>
      <c r="AV84" s="347" t="e">
        <f>IF($I84="","",IF($I84="Custom",0,INDEX('Pathway B benchmarks'!$17:$18,MATCH($I84,'Pathway B benchmarks'!$A$17:$A$18,0),MATCH($S84,'Pathway B benchmarks'!$17:$17,0))))</f>
        <v>#N/A</v>
      </c>
      <c r="AW84" s="347" t="e">
        <f>IF($I84="","",IF($I84="Custom",0,INDEX('Pathway B benchmarks'!$30:$34,2,MATCH($S84,'Pathway B benchmarks'!$30:$30,0))))</f>
        <v>#N/A</v>
      </c>
      <c r="AX84" s="345" t="e">
        <f>IF($AW$84=0,1,$Q$84/$AW$84)*$AV$84</f>
        <v>#N/A</v>
      </c>
      <c r="AY84" s="353" t="e">
        <f>$AX$84/1000*$Y84/0.0036</f>
        <v>#N/A</v>
      </c>
      <c r="AZ84" s="353" t="e">
        <f>$AY$84/70*100</f>
        <v>#N/A</v>
      </c>
      <c r="BA84" s="353" t="e">
        <f t="shared" si="37"/>
        <v>#N/A</v>
      </c>
      <c r="BB84" s="350">
        <f t="shared" si="38"/>
        <v>0</v>
      </c>
      <c r="BC84" s="350" t="e">
        <f t="shared" si="39"/>
        <v>#N/A</v>
      </c>
      <c r="BD84" s="351">
        <f>IF(OR(E84="Whole Building", E84="Hotel", E84="School", E84="Data Centre (Whole facility)", E84="Residential Aged Care", E84="Retirement Living", E84="RAC and retirement (co-located)"),VLOOKUP(BB84,'Points Table'!$B$13:$C$36,2,TRUE),IF(OR(E84="Base Building", E84="Shopping Centre", E84="Apartment", E84="Warehouse and Cold Store", E84="Data Centre (Infrastructure)"),VLOOKUP(BB84,'Points Table'!$E$13:$F$33,2,TRUE),0))</f>
        <v>0</v>
      </c>
      <c r="BE84" s="352" t="str">
        <f>IF(AND($E$84="Whole Building", $BD$84&gt;=10), "YES", IF(AND($E$84="Base Building", $BD$84&gt;=8), "YES", "NO"))</f>
        <v>NO</v>
      </c>
    </row>
    <row r="85" spans="2:57">
      <c r="B85" s="300"/>
      <c r="C85" s="300"/>
      <c r="D85" s="300"/>
      <c r="E85" s="300"/>
      <c r="F85" s="300"/>
      <c r="G85" s="300"/>
      <c r="H85" s="300"/>
      <c r="I85" s="343" t="s">
        <v>943</v>
      </c>
      <c r="J85" s="274"/>
      <c r="K85" s="274"/>
      <c r="L85" s="359">
        <f t="shared" si="27"/>
        <v>1</v>
      </c>
      <c r="M85" s="362">
        <f t="shared" si="28"/>
        <v>1900</v>
      </c>
      <c r="N85" s="300"/>
      <c r="O85" s="300"/>
      <c r="P85" s="300"/>
      <c r="Q85" s="300"/>
      <c r="R85" s="300"/>
      <c r="S85" s="300"/>
      <c r="T85" s="303"/>
      <c r="U85" s="303"/>
      <c r="V85" s="344" t="str">
        <f t="shared" si="29"/>
        <v/>
      </c>
      <c r="W85" s="339"/>
      <c r="X85" s="363">
        <f>IF(W85&gt;0,W85*0.0036*IF(OR(T85&gt;$J$85,U85&lt;$K$85), 0, IF(T85&lt;$J$85,U85-$J$85,IF($K$85&lt;U85,U85-$K$85,V85)))/V85,0)</f>
        <v>0</v>
      </c>
      <c r="Y85" s="346" t="e" cm="1">
        <f t="array" ref="Y85">IF('Pathway B benchmarks'!C61,INDEX('Pathway B benchmarks'!C61:C63,MATCH(1,($I$7='Pathway B benchmarks'!A61:A63)*($M$85='Pathway B benchmarks'!B61:B63),0),1))</f>
        <v>#N/A</v>
      </c>
      <c r="Z85" s="347" t="e">
        <f t="shared" si="30"/>
        <v>#N/A</v>
      </c>
      <c r="AA85" s="303"/>
      <c r="AB85" s="303"/>
      <c r="AC85" s="344" t="str">
        <f t="shared" si="31"/>
        <v/>
      </c>
      <c r="AD85" s="339"/>
      <c r="AE85" s="364">
        <f>IF(AD85&gt;0,AD85*0.001*IF(OR(AA85&gt;$J$85,AB85&lt;$K$85), 0, IF(AA85&lt;$J$85,AB85-$J$85,IF($K$85&lt;AB85,AB85-$K$85,AC85)))/AC85,0)</f>
        <v>0</v>
      </c>
      <c r="AF85" s="348" t="e" cm="1">
        <f t="array" ref="AF85">IF('Pathway B benchmarks'!F39,INDEX('Pathway B benchmarks'!F39:F56,MATCH(1,($AE$6='Pathway B benchmarks'!A39:A56)*($M$85='Pathway B benchmarks'!B39:B56),0),1))</f>
        <v>#N/A</v>
      </c>
      <c r="AG85" s="349">
        <f t="shared" si="32"/>
        <v>0</v>
      </c>
      <c r="AH85" s="303"/>
      <c r="AI85" s="303"/>
      <c r="AJ85" s="344" t="str">
        <f t="shared" si="33"/>
        <v/>
      </c>
      <c r="AK85" s="339"/>
      <c r="AL85" s="363">
        <f>IF(AK85&gt;0,AK85*26.2*IF(OR(AH85&gt;$J$85,AI85&lt;$K$85), 0, IF(AH85&lt;$J$85,AI85-$J$85,IF($K$85&lt;AI85,AI85-$K$85,AJ85)))/AJ85,0)</f>
        <v>0</v>
      </c>
      <c r="AM85" s="345" t="e" cm="1">
        <f t="array" ref="AM85">IF('Pathway B benchmarks'!F39,INDEX('Pathway B benchmarks'!F39:F56,MATCH(1,($AL$6='Pathway B benchmarks'!A39:A56)*($M$85='Pathway B benchmarks'!B39:B56),0),1))</f>
        <v>#N/A</v>
      </c>
      <c r="AN85" s="347">
        <f t="shared" si="34"/>
        <v>0</v>
      </c>
      <c r="AO85" s="303"/>
      <c r="AP85" s="303"/>
      <c r="AQ85" s="344" t="str">
        <f t="shared" si="35"/>
        <v/>
      </c>
      <c r="AR85" s="339"/>
      <c r="AS85" s="363">
        <f>IF(AR85&gt;0,AR85*38.6*IF(OR(AO85&gt;$J$85,AP85&lt;$K$85), 0, IF(AO85&lt;$J$85,AP85-$J$85,IF($K$85&lt;AP85,AP85-$K$85,AQ85)))/AQ85,0)</f>
        <v>0</v>
      </c>
      <c r="AT85" s="345" t="e" cm="1">
        <f t="array" ref="AT85">IF('Pathway B benchmarks'!F39,INDEX('Pathway B benchmarks'!F39:F56,MATCH(1,($AS$6='Pathway B benchmarks'!A39:A56)*($M$85='Pathway B benchmarks'!B39:B56),0),1))</f>
        <v>#N/A</v>
      </c>
      <c r="AU85" s="347">
        <f t="shared" si="36"/>
        <v>0</v>
      </c>
      <c r="AV85" s="347" t="e">
        <f>IF($I85="","",IF($I85="Custom",0,INDEX('Pathway B benchmarks'!$17:$18,MATCH($I85,'Pathway B benchmarks'!$A$17:$A$18,0),MATCH($S85,'Pathway B benchmarks'!$17:$17,0))))</f>
        <v>#N/A</v>
      </c>
      <c r="AW85" s="347" t="e">
        <f>IF($I85="","",IF($I85="Custom",0,INDEX('Pathway B benchmarks'!$30:$34,2,MATCH($S85,'Pathway B benchmarks'!$30:$30,0))))</f>
        <v>#N/A</v>
      </c>
      <c r="AX85" s="345" t="e">
        <f>IF($AW$85=0,1,$Q$85/$AW$85)*$AV$85</f>
        <v>#N/A</v>
      </c>
      <c r="AY85" s="353" t="e">
        <f>$AX$85/1000*$Y85/0.0036</f>
        <v>#N/A</v>
      </c>
      <c r="AZ85" s="353" t="e">
        <f>$AY$85/70*100</f>
        <v>#N/A</v>
      </c>
      <c r="BA85" s="353" t="e">
        <f t="shared" si="37"/>
        <v>#N/A</v>
      </c>
      <c r="BB85" s="350">
        <f t="shared" si="38"/>
        <v>0</v>
      </c>
      <c r="BC85" s="350" t="e">
        <f t="shared" si="39"/>
        <v>#N/A</v>
      </c>
      <c r="BD85" s="351">
        <f>IF(OR(E85="Whole Building", E85="Hotel", E85="School", E85="Data Centre (Whole facility)", E85="Residential Aged Care", E85="Retirement Living", E85="RAC and retirement (co-located)"),VLOOKUP(BB85,'Points Table'!$B$13:$C$36,2,TRUE),IF(OR(E85="Base Building", E85="Shopping Centre", E85="Apartment", E85="Warehouse and Cold Store", E85="Data Centre (Infrastructure)"),VLOOKUP(BB85,'Points Table'!$E$13:$F$33,2,TRUE),0))</f>
        <v>0</v>
      </c>
      <c r="BE85" s="352" t="str">
        <f>IF(AND($E$85="Whole Building", $BD$85&gt;=10), "YES", IF(AND($E$85="Base Building", $BD$85&gt;=8), "YES", "NO"))</f>
        <v>NO</v>
      </c>
    </row>
    <row r="86" spans="2:57">
      <c r="B86" s="300"/>
      <c r="C86" s="300"/>
      <c r="D86" s="300"/>
      <c r="E86" s="300"/>
      <c r="F86" s="300"/>
      <c r="G86" s="300"/>
      <c r="H86" s="300"/>
      <c r="I86" s="343" t="s">
        <v>943</v>
      </c>
      <c r="J86" s="274"/>
      <c r="K86" s="274"/>
      <c r="L86" s="359">
        <f t="shared" si="27"/>
        <v>1</v>
      </c>
      <c r="M86" s="362">
        <f t="shared" si="28"/>
        <v>1900</v>
      </c>
      <c r="N86" s="300"/>
      <c r="O86" s="300"/>
      <c r="P86" s="300"/>
      <c r="Q86" s="300"/>
      <c r="R86" s="300"/>
      <c r="S86" s="300"/>
      <c r="T86" s="303"/>
      <c r="U86" s="303"/>
      <c r="V86" s="344" t="str">
        <f t="shared" si="29"/>
        <v/>
      </c>
      <c r="W86" s="339"/>
      <c r="X86" s="363">
        <f>IF(W86&gt;0,W86*0.0036*IF(OR(T86&gt;$J$86,U86&lt;$K$86), 0, IF(T86&lt;$J$86,U86-$J$86,IF($K$86&lt;U86,U86-$K$86,V86)))/V86,0)</f>
        <v>0</v>
      </c>
      <c r="Y86" s="346" t="e" cm="1">
        <f t="array" ref="Y86">IF('Pathway B benchmarks'!C61,INDEX('Pathway B benchmarks'!C61:C63,MATCH(1,($I$7='Pathway B benchmarks'!A61:A63)*($M$86='Pathway B benchmarks'!B61:B63),0),1))</f>
        <v>#N/A</v>
      </c>
      <c r="Z86" s="347" t="e">
        <f t="shared" si="30"/>
        <v>#N/A</v>
      </c>
      <c r="AA86" s="303"/>
      <c r="AB86" s="303"/>
      <c r="AC86" s="344" t="str">
        <f t="shared" si="31"/>
        <v/>
      </c>
      <c r="AD86" s="339"/>
      <c r="AE86" s="364">
        <f>IF(AD86&gt;0,AD86*0.001*IF(OR(AA86&gt;$J$86,AB86&lt;$K$86), 0, IF(AA86&lt;$J$86,AB86-$J$86,IF($K$86&lt;AB86,AB86-$K$86,AC86)))/AC86,0)</f>
        <v>0</v>
      </c>
      <c r="AF86" s="348" t="e" cm="1">
        <f t="array" ref="AF86">IF('Pathway B benchmarks'!F39,INDEX('Pathway B benchmarks'!F39:F56,MATCH(1,($AE$6='Pathway B benchmarks'!A39:A56)*($M$86='Pathway B benchmarks'!B39:B56),0),1))</f>
        <v>#N/A</v>
      </c>
      <c r="AG86" s="349">
        <f t="shared" si="32"/>
        <v>0</v>
      </c>
      <c r="AH86" s="303"/>
      <c r="AI86" s="303"/>
      <c r="AJ86" s="344" t="str">
        <f t="shared" si="33"/>
        <v/>
      </c>
      <c r="AK86" s="339"/>
      <c r="AL86" s="363">
        <f>IF(AK86&gt;0,AK86*26.2*IF(OR(AH86&gt;$J$86,AI86&lt;$K$86), 0, IF(AH86&lt;$J$86,AI86-$J$86,IF($K$86&lt;AI86,AI86-$K$86,AJ86)))/AJ86,0)</f>
        <v>0</v>
      </c>
      <c r="AM86" s="345" t="e" cm="1">
        <f t="array" ref="AM86">IF('Pathway B benchmarks'!F39,INDEX('Pathway B benchmarks'!F39:F56,MATCH(1,($AL$6='Pathway B benchmarks'!A39:A56)*($M$86='Pathway B benchmarks'!B39:B56),0),1))</f>
        <v>#N/A</v>
      </c>
      <c r="AN86" s="347">
        <f t="shared" si="34"/>
        <v>0</v>
      </c>
      <c r="AO86" s="303"/>
      <c r="AP86" s="303"/>
      <c r="AQ86" s="344" t="str">
        <f t="shared" si="35"/>
        <v/>
      </c>
      <c r="AR86" s="339"/>
      <c r="AS86" s="363">
        <f>IF(AR86&gt;0,AR86*38.6*IF(OR(AO86&gt;$J$86,AP86&lt;$K$86), 0, IF(AO86&lt;$J$86,AP86-$J$86,IF($K$86&lt;AP86,AP86-$K$86,AQ86)))/AQ86,0)</f>
        <v>0</v>
      </c>
      <c r="AT86" s="345" t="e" cm="1">
        <f t="array" ref="AT86">IF('Pathway B benchmarks'!F39,INDEX('Pathway B benchmarks'!F39:F56,MATCH(1,($AS$6='Pathway B benchmarks'!A39:A56)*($M$86='Pathway B benchmarks'!B39:B56),0),1))</f>
        <v>#N/A</v>
      </c>
      <c r="AU86" s="347">
        <f t="shared" si="36"/>
        <v>0</v>
      </c>
      <c r="AV86" s="347" t="e">
        <f>IF($I86="","",IF($I86="Custom",0,INDEX('Pathway B benchmarks'!$17:$18,MATCH($I86,'Pathway B benchmarks'!$A$17:$A$18,0),MATCH($S86,'Pathway B benchmarks'!$17:$17,0))))</f>
        <v>#N/A</v>
      </c>
      <c r="AW86" s="347" t="e">
        <f>IF($I86="","",IF($I86="Custom",0,INDEX('Pathway B benchmarks'!$30:$34,2,MATCH($S86,'Pathway B benchmarks'!$30:$30,0))))</f>
        <v>#N/A</v>
      </c>
      <c r="AX86" s="345" t="e">
        <f>IF($AW$86=0,1,$Q$86/$AW$86)*$AV$86</f>
        <v>#N/A</v>
      </c>
      <c r="AY86" s="353" t="e">
        <f>$AX$86/1000*$Y86/0.0036</f>
        <v>#N/A</v>
      </c>
      <c r="AZ86" s="353" t="e">
        <f>$AY$86/70*100</f>
        <v>#N/A</v>
      </c>
      <c r="BA86" s="353" t="e">
        <f t="shared" si="37"/>
        <v>#N/A</v>
      </c>
      <c r="BB86" s="350">
        <f t="shared" si="38"/>
        <v>0</v>
      </c>
      <c r="BC86" s="350" t="e">
        <f t="shared" si="39"/>
        <v>#N/A</v>
      </c>
      <c r="BD86" s="351">
        <f>IF(OR(E86="Whole Building", E86="Hotel", E86="School", E86="Data Centre (Whole facility)", E86="Residential Aged Care", E86="Retirement Living", E86="RAC and retirement (co-located)"),VLOOKUP(BB86,'Points Table'!$B$13:$C$36,2,TRUE),IF(OR(E86="Base Building", E86="Shopping Centre", E86="Apartment", E86="Warehouse and Cold Store", E86="Data Centre (Infrastructure)"),VLOOKUP(BB86,'Points Table'!$E$13:$F$33,2,TRUE),0))</f>
        <v>0</v>
      </c>
      <c r="BE86" s="352" t="str">
        <f>IF(AND($E$86="Whole Building", $BD$86&gt;=10), "YES", IF(AND($E$86="Base Building", $BD$86&gt;=8), "YES", "NO"))</f>
        <v>NO</v>
      </c>
    </row>
    <row r="87" spans="2:57">
      <c r="B87" s="300"/>
      <c r="C87" s="300"/>
      <c r="D87" s="300"/>
      <c r="E87" s="300"/>
      <c r="F87" s="300"/>
      <c r="G87" s="300"/>
      <c r="H87" s="300"/>
      <c r="I87" s="343" t="s">
        <v>943</v>
      </c>
      <c r="J87" s="274"/>
      <c r="K87" s="274"/>
      <c r="L87" s="359">
        <f t="shared" si="27"/>
        <v>1</v>
      </c>
      <c r="M87" s="362">
        <f t="shared" si="28"/>
        <v>1900</v>
      </c>
      <c r="N87" s="300"/>
      <c r="O87" s="300"/>
      <c r="P87" s="300"/>
      <c r="Q87" s="300"/>
      <c r="R87" s="300"/>
      <c r="S87" s="300"/>
      <c r="T87" s="303"/>
      <c r="U87" s="303"/>
      <c r="V87" s="344" t="str">
        <f t="shared" si="29"/>
        <v/>
      </c>
      <c r="W87" s="339"/>
      <c r="X87" s="363">
        <f>IF(W87&gt;0,W87*0.0036*IF(OR(T87&gt;$J$87,U87&lt;$K$87), 0, IF(T87&lt;$J$87,U87-$J$87,IF($K$87&lt;U87,U87-$K$87,V87)))/V87,0)</f>
        <v>0</v>
      </c>
      <c r="Y87" s="346" t="e" cm="1">
        <f t="array" ref="Y87">IF('Pathway B benchmarks'!C61,INDEX('Pathway B benchmarks'!C61:C63,MATCH(1,($I$7='Pathway B benchmarks'!A61:A63)*($M$87='Pathway B benchmarks'!B61:B63),0),1))</f>
        <v>#N/A</v>
      </c>
      <c r="Z87" s="347" t="e">
        <f t="shared" si="30"/>
        <v>#N/A</v>
      </c>
      <c r="AA87" s="303"/>
      <c r="AB87" s="303"/>
      <c r="AC87" s="344" t="str">
        <f t="shared" si="31"/>
        <v/>
      </c>
      <c r="AD87" s="339"/>
      <c r="AE87" s="364">
        <f>IF(AD87&gt;0,AD87*0.001*IF(OR(AA87&gt;$J$87,AB87&lt;$K$87), 0, IF(AA87&lt;$J$87,AB87-$J$87,IF($K$87&lt;AB87,AB87-$K$87,AC87)))/AC87,0)</f>
        <v>0</v>
      </c>
      <c r="AF87" s="348" t="e" cm="1">
        <f t="array" ref="AF87">IF('Pathway B benchmarks'!F39,INDEX('Pathway B benchmarks'!F39:F56,MATCH(1,($AE$6='Pathway B benchmarks'!A39:A56)*($M$87='Pathway B benchmarks'!B39:B56),0),1))</f>
        <v>#N/A</v>
      </c>
      <c r="AG87" s="349">
        <f t="shared" si="32"/>
        <v>0</v>
      </c>
      <c r="AH87" s="303"/>
      <c r="AI87" s="303"/>
      <c r="AJ87" s="344" t="str">
        <f t="shared" si="33"/>
        <v/>
      </c>
      <c r="AK87" s="339"/>
      <c r="AL87" s="363">
        <f>IF(AK87&gt;0,AK87*26.2*IF(OR(AH87&gt;$J$87,AI87&lt;$K$87), 0, IF(AH87&lt;$J$87,AI87-$J$87,IF($K$87&lt;AI87,AI87-$K$87,AJ87)))/AJ87,0)</f>
        <v>0</v>
      </c>
      <c r="AM87" s="345" t="e" cm="1">
        <f t="array" ref="AM87">IF('Pathway B benchmarks'!F39,INDEX('Pathway B benchmarks'!F39:F56,MATCH(1,($AL$6='Pathway B benchmarks'!A39:A56)*($M$87='Pathway B benchmarks'!B39:B56),0),1))</f>
        <v>#N/A</v>
      </c>
      <c r="AN87" s="347">
        <f t="shared" si="34"/>
        <v>0</v>
      </c>
      <c r="AO87" s="303"/>
      <c r="AP87" s="303"/>
      <c r="AQ87" s="344" t="str">
        <f t="shared" si="35"/>
        <v/>
      </c>
      <c r="AR87" s="339"/>
      <c r="AS87" s="363">
        <f>IF(AR87&gt;0,AR87*38.6*IF(OR(AO87&gt;$J$87,AP87&lt;$K$87), 0, IF(AO87&lt;$J$87,AP87-$J$87,IF($K$87&lt;AP87,AP87-$K$87,AQ87)))/AQ87,0)</f>
        <v>0</v>
      </c>
      <c r="AT87" s="345" t="e" cm="1">
        <f t="array" ref="AT87">IF('Pathway B benchmarks'!F39,INDEX('Pathway B benchmarks'!F39:F56,MATCH(1,($AS$6='Pathway B benchmarks'!A39:A56)*($M$87='Pathway B benchmarks'!B39:B56),0),1))</f>
        <v>#N/A</v>
      </c>
      <c r="AU87" s="347">
        <f t="shared" si="36"/>
        <v>0</v>
      </c>
      <c r="AV87" s="347" t="e">
        <f>IF($I87="","",IF($I87="Custom",0,INDEX('Pathway B benchmarks'!$17:$18,MATCH($I87,'Pathway B benchmarks'!$A$17:$A$18,0),MATCH($S87,'Pathway B benchmarks'!$17:$17,0))))</f>
        <v>#N/A</v>
      </c>
      <c r="AW87" s="347" t="e">
        <f>IF($I87="","",IF($I87="Custom",0,INDEX('Pathway B benchmarks'!$30:$34,2,MATCH($S87,'Pathway B benchmarks'!$30:$30,0))))</f>
        <v>#N/A</v>
      </c>
      <c r="AX87" s="345" t="e">
        <f>IF($AW$87=0,1,$Q$87/$AW$87)*$AV$87</f>
        <v>#N/A</v>
      </c>
      <c r="AY87" s="353" t="e">
        <f>$AX$87/1000*$Y87/0.0036</f>
        <v>#N/A</v>
      </c>
      <c r="AZ87" s="353" t="e">
        <f>$AY$87/70*100</f>
        <v>#N/A</v>
      </c>
      <c r="BA87" s="353" t="e">
        <f t="shared" si="37"/>
        <v>#N/A</v>
      </c>
      <c r="BB87" s="350">
        <f t="shared" si="38"/>
        <v>0</v>
      </c>
      <c r="BC87" s="350" t="e">
        <f t="shared" si="39"/>
        <v>#N/A</v>
      </c>
      <c r="BD87" s="351">
        <f>IF(OR(E87="Whole Building", E87="Hotel", E87="School", E87="Data Centre (Whole facility)", E87="Residential Aged Care", E87="Retirement Living", E87="RAC and retirement (co-located)"),VLOOKUP(BB87,'Points Table'!$B$13:$C$36,2,TRUE),IF(OR(E87="Base Building", E87="Shopping Centre", E87="Apartment", E87="Warehouse and Cold Store", E87="Data Centre (Infrastructure)"),VLOOKUP(BB87,'Points Table'!$E$13:$F$33,2,TRUE),0))</f>
        <v>0</v>
      </c>
      <c r="BE87" s="352" t="str">
        <f>IF(AND($E$87="Whole Building", $BD$87&gt;=10), "YES", IF(AND($E$87="Base Building", $BD$87&gt;=8), "YES", "NO"))</f>
        <v>NO</v>
      </c>
    </row>
    <row r="88" spans="2:57">
      <c r="B88" s="300"/>
      <c r="C88" s="300"/>
      <c r="D88" s="300"/>
      <c r="E88" s="300"/>
      <c r="F88" s="300"/>
      <c r="G88" s="300"/>
      <c r="H88" s="300"/>
      <c r="I88" s="343" t="s">
        <v>943</v>
      </c>
      <c r="J88" s="274"/>
      <c r="K88" s="274"/>
      <c r="L88" s="359">
        <f t="shared" si="27"/>
        <v>1</v>
      </c>
      <c r="M88" s="362">
        <f t="shared" si="28"/>
        <v>1900</v>
      </c>
      <c r="N88" s="300"/>
      <c r="O88" s="300"/>
      <c r="P88" s="300"/>
      <c r="Q88" s="300"/>
      <c r="R88" s="300"/>
      <c r="S88" s="300"/>
      <c r="T88" s="303"/>
      <c r="U88" s="303"/>
      <c r="V88" s="344" t="str">
        <f t="shared" si="29"/>
        <v/>
      </c>
      <c r="W88" s="339"/>
      <c r="X88" s="363">
        <f>IF(W88&gt;0,W88*0.0036*IF(OR(T88&gt;$J$88,U88&lt;$K$88), 0, IF(T88&lt;$J$88,U88-$J$88,IF($K$88&lt;U88,U88-$K$88,V88)))/V88,0)</f>
        <v>0</v>
      </c>
      <c r="Y88" s="346" t="e" cm="1">
        <f t="array" ref="Y88">IF('Pathway B benchmarks'!C61,INDEX('Pathway B benchmarks'!C61:C63,MATCH(1,($I$7='Pathway B benchmarks'!A61:A63)*($M$88='Pathway B benchmarks'!B61:B63),0),1))</f>
        <v>#N/A</v>
      </c>
      <c r="Z88" s="347" t="e">
        <f t="shared" si="30"/>
        <v>#N/A</v>
      </c>
      <c r="AA88" s="303"/>
      <c r="AB88" s="303"/>
      <c r="AC88" s="344" t="str">
        <f t="shared" si="31"/>
        <v/>
      </c>
      <c r="AD88" s="339"/>
      <c r="AE88" s="364">
        <f>IF(AD88&gt;0,AD88*0.001*IF(OR(AA88&gt;$J$88,AB88&lt;$K$88), 0, IF(AA88&lt;$J$88,AB88-$J$88,IF($K$88&lt;AB88,AB88-$K$88,AC88)))/AC88,0)</f>
        <v>0</v>
      </c>
      <c r="AF88" s="348" t="e" cm="1">
        <f t="array" ref="AF88">IF('Pathway B benchmarks'!F39,INDEX('Pathway B benchmarks'!F39:F56,MATCH(1,($AE$6='Pathway B benchmarks'!A39:A56)*($M$88='Pathway B benchmarks'!B39:B56),0),1))</f>
        <v>#N/A</v>
      </c>
      <c r="AG88" s="349">
        <f t="shared" si="32"/>
        <v>0</v>
      </c>
      <c r="AH88" s="303"/>
      <c r="AI88" s="303"/>
      <c r="AJ88" s="344" t="str">
        <f t="shared" si="33"/>
        <v/>
      </c>
      <c r="AK88" s="339"/>
      <c r="AL88" s="363">
        <f>IF(AK88&gt;0,AK88*26.2*IF(OR(AH88&gt;$J$88,AI88&lt;$K$88), 0, IF(AH88&lt;$J$88,AI88-$J$88,IF($K$88&lt;AI88,AI88-$K$88,AJ88)))/AJ88,0)</f>
        <v>0</v>
      </c>
      <c r="AM88" s="345" t="e" cm="1">
        <f t="array" ref="AM88">IF('Pathway B benchmarks'!F39,INDEX('Pathway B benchmarks'!F39:F56,MATCH(1,($AL$6='Pathway B benchmarks'!A39:A56)*($M$88='Pathway B benchmarks'!B39:B56),0),1))</f>
        <v>#N/A</v>
      </c>
      <c r="AN88" s="347">
        <f t="shared" si="34"/>
        <v>0</v>
      </c>
      <c r="AO88" s="303"/>
      <c r="AP88" s="303"/>
      <c r="AQ88" s="344" t="str">
        <f t="shared" si="35"/>
        <v/>
      </c>
      <c r="AR88" s="339"/>
      <c r="AS88" s="363">
        <f>IF(AR88&gt;0,AR88*38.6*IF(OR(AO88&gt;$J$88,AP88&lt;$K$88), 0, IF(AO88&lt;$J$88,AP88-$J$88,IF($K$88&lt;AP88,AP88-$K$88,AQ88)))/AQ88,0)</f>
        <v>0</v>
      </c>
      <c r="AT88" s="345" t="e" cm="1">
        <f t="array" ref="AT88">IF('Pathway B benchmarks'!F39,INDEX('Pathway B benchmarks'!F39:F56,MATCH(1,($AS$6='Pathway B benchmarks'!A39:A56)*($M$88='Pathway B benchmarks'!B39:B56),0),1))</f>
        <v>#N/A</v>
      </c>
      <c r="AU88" s="347">
        <f t="shared" si="36"/>
        <v>0</v>
      </c>
      <c r="AV88" s="347" t="e">
        <f>IF($I88="","",IF($I88="Custom",0,INDEX('Pathway B benchmarks'!$17:$18,MATCH($I88,'Pathway B benchmarks'!$A$17:$A$18,0),MATCH($S88,'Pathway B benchmarks'!$17:$17,0))))</f>
        <v>#N/A</v>
      </c>
      <c r="AW88" s="347" t="e">
        <f>IF($I88="","",IF($I88="Custom",0,INDEX('Pathway B benchmarks'!$30:$34,2,MATCH($S88,'Pathway B benchmarks'!$30:$30,0))))</f>
        <v>#N/A</v>
      </c>
      <c r="AX88" s="345" t="e">
        <f>IF($AW$88=0,1,$Q$88/$AW$88)*$AV$88</f>
        <v>#N/A</v>
      </c>
      <c r="AY88" s="353" t="e">
        <f>$AX$88/1000*$Y88/0.0036</f>
        <v>#N/A</v>
      </c>
      <c r="AZ88" s="353" t="e">
        <f>$AY$88/70*100</f>
        <v>#N/A</v>
      </c>
      <c r="BA88" s="353" t="e">
        <f t="shared" si="37"/>
        <v>#N/A</v>
      </c>
      <c r="BB88" s="350">
        <f t="shared" si="38"/>
        <v>0</v>
      </c>
      <c r="BC88" s="350" t="e">
        <f t="shared" si="39"/>
        <v>#N/A</v>
      </c>
      <c r="BD88" s="351">
        <f>IF(OR(E88="Whole Building", E88="Hotel", E88="School", E88="Data Centre (Whole facility)", E88="Residential Aged Care", E88="Retirement Living", E88="RAC and retirement (co-located)"),VLOOKUP(BB88,'Points Table'!$B$13:$C$36,2,TRUE),IF(OR(E88="Base Building", E88="Shopping Centre", E88="Apartment", E88="Warehouse and Cold Store", E88="Data Centre (Infrastructure)"),VLOOKUP(BB88,'Points Table'!$E$13:$F$33,2,TRUE),0))</f>
        <v>0</v>
      </c>
      <c r="BE88" s="352" t="str">
        <f>IF(AND($E$88="Whole Building", $BD$88&gt;=10), "YES", IF(AND($E$88="Base Building", $BD$88&gt;=8), "YES", "NO"))</f>
        <v>NO</v>
      </c>
    </row>
    <row r="89" spans="2:57">
      <c r="B89" s="300"/>
      <c r="C89" s="300"/>
      <c r="D89" s="300"/>
      <c r="E89" s="300"/>
      <c r="F89" s="300"/>
      <c r="G89" s="300"/>
      <c r="H89" s="300"/>
      <c r="I89" s="343" t="s">
        <v>943</v>
      </c>
      <c r="J89" s="274"/>
      <c r="K89" s="274"/>
      <c r="L89" s="359">
        <f t="shared" si="27"/>
        <v>1</v>
      </c>
      <c r="M89" s="362">
        <f t="shared" si="28"/>
        <v>1900</v>
      </c>
      <c r="N89" s="300"/>
      <c r="O89" s="300"/>
      <c r="P89" s="300"/>
      <c r="Q89" s="300"/>
      <c r="R89" s="300"/>
      <c r="S89" s="300"/>
      <c r="T89" s="303"/>
      <c r="U89" s="303"/>
      <c r="V89" s="344" t="str">
        <f t="shared" si="29"/>
        <v/>
      </c>
      <c r="W89" s="339"/>
      <c r="X89" s="363">
        <f>IF(W89&gt;0,W89*0.0036*IF(OR(T89&gt;$J$89,U89&lt;$K$89), 0, IF(T89&lt;$J$89,U89-$J$89,IF($K$89&lt;U89,U89-$K$89,V89)))/V89,0)</f>
        <v>0</v>
      </c>
      <c r="Y89" s="346" t="e" cm="1">
        <f t="array" ref="Y89">IF('Pathway B benchmarks'!C61,INDEX('Pathway B benchmarks'!C61:C63,MATCH(1,($I$7='Pathway B benchmarks'!A61:A63)*($M$89='Pathway B benchmarks'!B61:B63),0),1))</f>
        <v>#N/A</v>
      </c>
      <c r="Z89" s="347" t="e">
        <f t="shared" si="30"/>
        <v>#N/A</v>
      </c>
      <c r="AA89" s="303"/>
      <c r="AB89" s="303"/>
      <c r="AC89" s="344" t="str">
        <f t="shared" si="31"/>
        <v/>
      </c>
      <c r="AD89" s="339"/>
      <c r="AE89" s="364">
        <f>IF(AD89&gt;0,AD89*0.001*IF(OR(AA89&gt;$J$89,AB89&lt;$K$89), 0, IF(AA89&lt;$J$89,AB89-$J$89,IF($K$89&lt;AB89,AB89-$K$89,AC89)))/AC89,0)</f>
        <v>0</v>
      </c>
      <c r="AF89" s="348" t="e" cm="1">
        <f t="array" ref="AF89">IF('Pathway B benchmarks'!F39,INDEX('Pathway B benchmarks'!F39:F56,MATCH(1,($AE$6='Pathway B benchmarks'!A39:A56)*($M$89='Pathway B benchmarks'!B39:B56),0),1))</f>
        <v>#N/A</v>
      </c>
      <c r="AG89" s="349">
        <f t="shared" si="32"/>
        <v>0</v>
      </c>
      <c r="AH89" s="303"/>
      <c r="AI89" s="303"/>
      <c r="AJ89" s="344" t="str">
        <f t="shared" si="33"/>
        <v/>
      </c>
      <c r="AK89" s="339"/>
      <c r="AL89" s="363">
        <f>IF(AK89&gt;0,AK89*26.2*IF(OR(AH89&gt;$J$89,AI89&lt;$K$89), 0, IF(AH89&lt;$J$89,AI89-$J$89,IF($K$89&lt;AI89,AI89-$K$89,AJ89)))/AJ89,0)</f>
        <v>0</v>
      </c>
      <c r="AM89" s="345" t="e" cm="1">
        <f t="array" ref="AM89">IF('Pathway B benchmarks'!F39,INDEX('Pathway B benchmarks'!F39:F56,MATCH(1,($AL$6='Pathway B benchmarks'!A39:A56)*($M$89='Pathway B benchmarks'!B39:B56),0),1))</f>
        <v>#N/A</v>
      </c>
      <c r="AN89" s="347">
        <f t="shared" si="34"/>
        <v>0</v>
      </c>
      <c r="AO89" s="303"/>
      <c r="AP89" s="303"/>
      <c r="AQ89" s="344" t="str">
        <f t="shared" si="35"/>
        <v/>
      </c>
      <c r="AR89" s="339"/>
      <c r="AS89" s="363">
        <f>IF(AR89&gt;0,AR89*38.6*IF(OR(AO89&gt;$J$89,AP89&lt;$K$89), 0, IF(AO89&lt;$J$89,AP89-$J$89,IF($K$89&lt;AP89,AP89-$K$89,AQ89)))/AQ89,0)</f>
        <v>0</v>
      </c>
      <c r="AT89" s="345" t="e" cm="1">
        <f t="array" ref="AT89">IF('Pathway B benchmarks'!F39,INDEX('Pathway B benchmarks'!F39:F56,MATCH(1,($AS$6='Pathway B benchmarks'!A39:A56)*($M$89='Pathway B benchmarks'!B39:B56),0),1))</f>
        <v>#N/A</v>
      </c>
      <c r="AU89" s="347">
        <f t="shared" si="36"/>
        <v>0</v>
      </c>
      <c r="AV89" s="347" t="e">
        <f>IF($I89="","",IF($I89="Custom",0,INDEX('Pathway B benchmarks'!$17:$18,MATCH($I89,'Pathway B benchmarks'!$A$17:$A$18,0),MATCH($S89,'Pathway B benchmarks'!$17:$17,0))))</f>
        <v>#N/A</v>
      </c>
      <c r="AW89" s="347" t="e">
        <f>IF($I89="","",IF($I89="Custom",0,INDEX('Pathway B benchmarks'!$30:$34,2,MATCH($S89,'Pathway B benchmarks'!$30:$30,0))))</f>
        <v>#N/A</v>
      </c>
      <c r="AX89" s="345" t="e">
        <f>IF($AW$89=0,1,$Q$89/$AW$89)*$AV$89</f>
        <v>#N/A</v>
      </c>
      <c r="AY89" s="353" t="e">
        <f>$AX$89/1000*$Y89/0.0036</f>
        <v>#N/A</v>
      </c>
      <c r="AZ89" s="353" t="e">
        <f>$AY$89/70*100</f>
        <v>#N/A</v>
      </c>
      <c r="BA89" s="353" t="e">
        <f t="shared" si="37"/>
        <v>#N/A</v>
      </c>
      <c r="BB89" s="350">
        <f t="shared" si="38"/>
        <v>0</v>
      </c>
      <c r="BC89" s="350" t="e">
        <f t="shared" si="39"/>
        <v>#N/A</v>
      </c>
      <c r="BD89" s="351">
        <f>IF(OR(E89="Whole Building", E89="Hotel", E89="School", E89="Data Centre (Whole facility)", E89="Residential Aged Care", E89="Retirement Living", E89="RAC and retirement (co-located)"),VLOOKUP(BB89,'Points Table'!$B$13:$C$36,2,TRUE),IF(OR(E89="Base Building", E89="Shopping Centre", E89="Apartment", E89="Warehouse and Cold Store", E89="Data Centre (Infrastructure)"),VLOOKUP(BB89,'Points Table'!$E$13:$F$33,2,TRUE),0))</f>
        <v>0</v>
      </c>
      <c r="BE89" s="352" t="str">
        <f>IF(AND($E$89="Whole Building", $BD$89&gt;=10), "YES", IF(AND($E$89="Base Building", $BD$89&gt;=8), "YES", "NO"))</f>
        <v>NO</v>
      </c>
    </row>
    <row r="90" spans="2:57">
      <c r="B90" s="300"/>
      <c r="C90" s="300"/>
      <c r="D90" s="300"/>
      <c r="E90" s="300"/>
      <c r="F90" s="300"/>
      <c r="G90" s="300"/>
      <c r="H90" s="300"/>
      <c r="I90" s="343" t="s">
        <v>943</v>
      </c>
      <c r="J90" s="274"/>
      <c r="K90" s="274"/>
      <c r="L90" s="359">
        <f t="shared" si="27"/>
        <v>1</v>
      </c>
      <c r="M90" s="362">
        <f t="shared" si="28"/>
        <v>1900</v>
      </c>
      <c r="N90" s="300"/>
      <c r="O90" s="300"/>
      <c r="P90" s="300"/>
      <c r="Q90" s="300"/>
      <c r="R90" s="300"/>
      <c r="S90" s="300"/>
      <c r="T90" s="303"/>
      <c r="U90" s="303"/>
      <c r="V90" s="344" t="str">
        <f t="shared" si="29"/>
        <v/>
      </c>
      <c r="W90" s="339"/>
      <c r="X90" s="363">
        <f>IF(W90&gt;0,W90*0.0036*IF(OR(T90&gt;$J$90,U90&lt;$K$90), 0, IF(T90&lt;$J$90,U90-$J$90,IF($K$90&lt;U90,U90-$K$90,V90)))/V90,0)</f>
        <v>0</v>
      </c>
      <c r="Y90" s="346" t="e" cm="1">
        <f t="array" ref="Y90">IF('Pathway B benchmarks'!C61,INDEX('Pathway B benchmarks'!C61:C63,MATCH(1,($I$7='Pathway B benchmarks'!A61:A63)*($M$90='Pathway B benchmarks'!B61:B63),0),1))</f>
        <v>#N/A</v>
      </c>
      <c r="Z90" s="347" t="e">
        <f t="shared" si="30"/>
        <v>#N/A</v>
      </c>
      <c r="AA90" s="303"/>
      <c r="AB90" s="303"/>
      <c r="AC90" s="344" t="str">
        <f t="shared" si="31"/>
        <v/>
      </c>
      <c r="AD90" s="339"/>
      <c r="AE90" s="364">
        <f>IF(AD90&gt;0,AD90*0.001*IF(OR(AA90&gt;$J$90,AB90&lt;$K$90), 0, IF(AA90&lt;$J$90,AB90-$J$90,IF($K$90&lt;AB90,AB90-$K$90,AC90)))/AC90,0)</f>
        <v>0</v>
      </c>
      <c r="AF90" s="348" t="e" cm="1">
        <f t="array" ref="AF90">IF('Pathway B benchmarks'!F39,INDEX('Pathway B benchmarks'!F39:F56,MATCH(1,($AE$6='Pathway B benchmarks'!A39:A56)*($M$90='Pathway B benchmarks'!B39:B56),0),1))</f>
        <v>#N/A</v>
      </c>
      <c r="AG90" s="349">
        <f t="shared" si="32"/>
        <v>0</v>
      </c>
      <c r="AH90" s="303"/>
      <c r="AI90" s="303"/>
      <c r="AJ90" s="344" t="str">
        <f t="shared" si="33"/>
        <v/>
      </c>
      <c r="AK90" s="339"/>
      <c r="AL90" s="363">
        <f>IF(AK90&gt;0,AK90*26.2*IF(OR(AH90&gt;$J$90,AI90&lt;$K$90), 0, IF(AH90&lt;$J$90,AI90-$J$90,IF($K$90&lt;AI90,AI90-$K$90,AJ90)))/AJ90,0)</f>
        <v>0</v>
      </c>
      <c r="AM90" s="345" t="e" cm="1">
        <f t="array" ref="AM90">IF('Pathway B benchmarks'!F39,INDEX('Pathway B benchmarks'!F39:F56,MATCH(1,($AL$6='Pathway B benchmarks'!A39:A56)*($M$90='Pathway B benchmarks'!B39:B56),0),1))</f>
        <v>#N/A</v>
      </c>
      <c r="AN90" s="347">
        <f t="shared" si="34"/>
        <v>0</v>
      </c>
      <c r="AO90" s="303"/>
      <c r="AP90" s="303"/>
      <c r="AQ90" s="344" t="str">
        <f t="shared" si="35"/>
        <v/>
      </c>
      <c r="AR90" s="339"/>
      <c r="AS90" s="363">
        <f>IF(AR90&gt;0,AR90*38.6*IF(OR(AO90&gt;$J$90,AP90&lt;$K$90), 0, IF(AO90&lt;$J$90,AP90-$J$90,IF($K$90&lt;AP90,AP90-$K$90,AQ90)))/AQ90,0)</f>
        <v>0</v>
      </c>
      <c r="AT90" s="345" t="e" cm="1">
        <f t="array" ref="AT90">IF('Pathway B benchmarks'!F39,INDEX('Pathway B benchmarks'!F39:F56,MATCH(1,($AS$6='Pathway B benchmarks'!A39:A56)*($M$90='Pathway B benchmarks'!B39:B56),0),1))</f>
        <v>#N/A</v>
      </c>
      <c r="AU90" s="347">
        <f t="shared" si="36"/>
        <v>0</v>
      </c>
      <c r="AV90" s="347" t="e">
        <f>IF($I90="","",IF($I90="Custom",0,INDEX('Pathway B benchmarks'!$17:$18,MATCH($I90,'Pathway B benchmarks'!$A$17:$A$18,0),MATCH($S90,'Pathway B benchmarks'!$17:$17,0))))</f>
        <v>#N/A</v>
      </c>
      <c r="AW90" s="347" t="e">
        <f>IF($I90="","",IF($I90="Custom",0,INDEX('Pathway B benchmarks'!$30:$34,2,MATCH($S90,'Pathway B benchmarks'!$30:$30,0))))</f>
        <v>#N/A</v>
      </c>
      <c r="AX90" s="345" t="e">
        <f>IF($AW$90=0,1,$Q$90/$AW$90)*$AV$90</f>
        <v>#N/A</v>
      </c>
      <c r="AY90" s="353" t="e">
        <f>$AX$90/1000*$Y90/0.0036</f>
        <v>#N/A</v>
      </c>
      <c r="AZ90" s="353" t="e">
        <f>$AY$90/70*100</f>
        <v>#N/A</v>
      </c>
      <c r="BA90" s="353" t="e">
        <f t="shared" si="37"/>
        <v>#N/A</v>
      </c>
      <c r="BB90" s="350">
        <f t="shared" si="38"/>
        <v>0</v>
      </c>
      <c r="BC90" s="350" t="e">
        <f t="shared" si="39"/>
        <v>#N/A</v>
      </c>
      <c r="BD90" s="351">
        <f>IF(OR(E90="Whole Building", E90="Hotel", E90="School", E90="Data Centre (Whole facility)", E90="Residential Aged Care", E90="Retirement Living", E90="RAC and retirement (co-located)"),VLOOKUP(BB90,'Points Table'!$B$13:$C$36,2,TRUE),IF(OR(E90="Base Building", E90="Shopping Centre", E90="Apartment", E90="Warehouse and Cold Store", E90="Data Centre (Infrastructure)"),VLOOKUP(BB90,'Points Table'!$E$13:$F$33,2,TRUE),0))</f>
        <v>0</v>
      </c>
      <c r="BE90" s="352" t="str">
        <f>IF(AND($E$90="Whole Building", $BD$90&gt;=10), "YES", IF(AND($E$90="Base Building", $BD$90&gt;=8), "YES", "NO"))</f>
        <v>NO</v>
      </c>
    </row>
    <row r="91" spans="2:57">
      <c r="B91" s="300"/>
      <c r="C91" s="300"/>
      <c r="D91" s="300"/>
      <c r="E91" s="300"/>
      <c r="F91" s="300"/>
      <c r="G91" s="300"/>
      <c r="H91" s="300"/>
      <c r="I91" s="343" t="s">
        <v>943</v>
      </c>
      <c r="J91" s="274"/>
      <c r="K91" s="274"/>
      <c r="L91" s="359">
        <f t="shared" si="27"/>
        <v>1</v>
      </c>
      <c r="M91" s="362">
        <f t="shared" si="28"/>
        <v>1900</v>
      </c>
      <c r="N91" s="300"/>
      <c r="O91" s="300"/>
      <c r="P91" s="300"/>
      <c r="Q91" s="300"/>
      <c r="R91" s="300"/>
      <c r="S91" s="300"/>
      <c r="T91" s="303"/>
      <c r="U91" s="303"/>
      <c r="V91" s="344" t="str">
        <f t="shared" si="29"/>
        <v/>
      </c>
      <c r="W91" s="339"/>
      <c r="X91" s="363">
        <f>IF(W91&gt;0,W91*0.0036*IF(OR(T91&gt;$J$91,U91&lt;$K$91), 0, IF(T91&lt;$J$91,U91-$J$91,IF($K$91&lt;U91,U91-$K$91,V91)))/V91,0)</f>
        <v>0</v>
      </c>
      <c r="Y91" s="346" t="e" cm="1">
        <f t="array" ref="Y91">IF('Pathway B benchmarks'!C61,INDEX('Pathway B benchmarks'!C61:C63,MATCH(1,($I$7='Pathway B benchmarks'!A61:A63)*($M$91='Pathway B benchmarks'!B61:B63),0),1))</f>
        <v>#N/A</v>
      </c>
      <c r="Z91" s="347" t="e">
        <f t="shared" si="30"/>
        <v>#N/A</v>
      </c>
      <c r="AA91" s="303"/>
      <c r="AB91" s="303"/>
      <c r="AC91" s="344" t="str">
        <f t="shared" si="31"/>
        <v/>
      </c>
      <c r="AD91" s="339"/>
      <c r="AE91" s="364">
        <f>IF(AD91&gt;0,AD91*0.001*IF(OR(AA91&gt;$J$91,AB91&lt;$K$91), 0, IF(AA91&lt;$J$91,AB91-$J$91,IF($K$91&lt;AB91,AB91-$K$91,AC91)))/AC91,0)</f>
        <v>0</v>
      </c>
      <c r="AF91" s="348" t="e" cm="1">
        <f t="array" ref="AF91">IF('Pathway B benchmarks'!F39,INDEX('Pathway B benchmarks'!F39:F56,MATCH(1,($AE$6='Pathway B benchmarks'!A39:A56)*($M$91='Pathway B benchmarks'!B39:B56),0),1))</f>
        <v>#N/A</v>
      </c>
      <c r="AG91" s="349">
        <f t="shared" si="32"/>
        <v>0</v>
      </c>
      <c r="AH91" s="303"/>
      <c r="AI91" s="303"/>
      <c r="AJ91" s="344" t="str">
        <f t="shared" si="33"/>
        <v/>
      </c>
      <c r="AK91" s="339"/>
      <c r="AL91" s="363">
        <f>IF(AK91&gt;0,AK91*26.2*IF(OR(AH91&gt;$J$91,AI91&lt;$K$91), 0, IF(AH91&lt;$J$91,AI91-$J$91,IF($K$91&lt;AI91,AI91-$K$91,AJ91)))/AJ91,0)</f>
        <v>0</v>
      </c>
      <c r="AM91" s="345" t="e" cm="1">
        <f t="array" ref="AM91">IF('Pathway B benchmarks'!F39,INDEX('Pathway B benchmarks'!F39:F56,MATCH(1,($AL$6='Pathway B benchmarks'!A39:A56)*($M$91='Pathway B benchmarks'!B39:B56),0),1))</f>
        <v>#N/A</v>
      </c>
      <c r="AN91" s="347">
        <f t="shared" si="34"/>
        <v>0</v>
      </c>
      <c r="AO91" s="303"/>
      <c r="AP91" s="303"/>
      <c r="AQ91" s="344" t="str">
        <f t="shared" si="35"/>
        <v/>
      </c>
      <c r="AR91" s="339"/>
      <c r="AS91" s="363">
        <f>IF(AR91&gt;0,AR91*38.6*IF(OR(AO91&gt;$J$91,AP91&lt;$K$91), 0, IF(AO91&lt;$J$91,AP91-$J$91,IF($K$91&lt;AP91,AP91-$K$91,AQ91)))/AQ91,0)</f>
        <v>0</v>
      </c>
      <c r="AT91" s="345" t="e" cm="1">
        <f t="array" ref="AT91">IF('Pathway B benchmarks'!F39,INDEX('Pathway B benchmarks'!F39:F56,MATCH(1,($AS$6='Pathway B benchmarks'!A39:A56)*($M$91='Pathway B benchmarks'!B39:B56),0),1))</f>
        <v>#N/A</v>
      </c>
      <c r="AU91" s="347">
        <f t="shared" si="36"/>
        <v>0</v>
      </c>
      <c r="AV91" s="347" t="e">
        <f>IF($I91="","",IF($I91="Custom",0,INDEX('Pathway B benchmarks'!$17:$18,MATCH($I91,'Pathway B benchmarks'!$A$17:$A$18,0),MATCH($S91,'Pathway B benchmarks'!$17:$17,0))))</f>
        <v>#N/A</v>
      </c>
      <c r="AW91" s="347" t="e">
        <f>IF($I91="","",IF($I91="Custom",0,INDEX('Pathway B benchmarks'!$30:$34,2,MATCH($S91,'Pathway B benchmarks'!$30:$30,0))))</f>
        <v>#N/A</v>
      </c>
      <c r="AX91" s="345" t="e">
        <f>IF($AW$91=0,1,$Q$91/$AW$91)*$AV$91</f>
        <v>#N/A</v>
      </c>
      <c r="AY91" s="353" t="e">
        <f>$AX$91/1000*$Y91/0.0036</f>
        <v>#N/A</v>
      </c>
      <c r="AZ91" s="353" t="e">
        <f>$AY$91/70*100</f>
        <v>#N/A</v>
      </c>
      <c r="BA91" s="353" t="e">
        <f t="shared" si="37"/>
        <v>#N/A</v>
      </c>
      <c r="BB91" s="350">
        <f t="shared" si="38"/>
        <v>0</v>
      </c>
      <c r="BC91" s="350" t="e">
        <f t="shared" si="39"/>
        <v>#N/A</v>
      </c>
      <c r="BD91" s="351">
        <f>IF(OR(E91="Whole Building", E91="Hotel", E91="School", E91="Data Centre (Whole facility)", E91="Residential Aged Care", E91="Retirement Living", E91="RAC and retirement (co-located)"),VLOOKUP(BB91,'Points Table'!$B$13:$C$36,2,TRUE),IF(OR(E91="Base Building", E91="Shopping Centre", E91="Apartment", E91="Warehouse and Cold Store", E91="Data Centre (Infrastructure)"),VLOOKUP(BB91,'Points Table'!$E$13:$F$33,2,TRUE),0))</f>
        <v>0</v>
      </c>
      <c r="BE91" s="352" t="str">
        <f>IF(AND($E$91="Whole Building", $BD$91&gt;=10), "YES", IF(AND($E$91="Base Building", $BD$91&gt;=8), "YES", "NO"))</f>
        <v>NO</v>
      </c>
    </row>
    <row r="92" spans="2:57">
      <c r="B92" s="300"/>
      <c r="C92" s="300"/>
      <c r="D92" s="300"/>
      <c r="E92" s="300"/>
      <c r="F92" s="300"/>
      <c r="G92" s="300"/>
      <c r="H92" s="300"/>
      <c r="I92" s="343" t="s">
        <v>943</v>
      </c>
      <c r="J92" s="274"/>
      <c r="K92" s="274"/>
      <c r="L92" s="359">
        <f t="shared" si="27"/>
        <v>1</v>
      </c>
      <c r="M92" s="362">
        <f t="shared" si="28"/>
        <v>1900</v>
      </c>
      <c r="N92" s="300"/>
      <c r="O92" s="300"/>
      <c r="P92" s="300"/>
      <c r="Q92" s="300"/>
      <c r="R92" s="300"/>
      <c r="S92" s="300"/>
      <c r="T92" s="303"/>
      <c r="U92" s="303"/>
      <c r="V92" s="344" t="str">
        <f t="shared" si="29"/>
        <v/>
      </c>
      <c r="W92" s="339"/>
      <c r="X92" s="363">
        <f>IF(W92&gt;0,W92*0.0036*IF(OR(T92&gt;$J$92,U92&lt;$K$92), 0, IF(T92&lt;$J$92,U92-$J$92,IF($K$92&lt;U92,U92-$K$92,V92)))/V92,0)</f>
        <v>0</v>
      </c>
      <c r="Y92" s="346" t="e" cm="1">
        <f t="array" ref="Y92">IF('Pathway B benchmarks'!C61,INDEX('Pathway B benchmarks'!C61:C63,MATCH(1,($I$7='Pathway B benchmarks'!A61:A63)*($M$92='Pathway B benchmarks'!B61:B63),0),1))</f>
        <v>#N/A</v>
      </c>
      <c r="Z92" s="347" t="e">
        <f t="shared" si="30"/>
        <v>#N/A</v>
      </c>
      <c r="AA92" s="303"/>
      <c r="AB92" s="303"/>
      <c r="AC92" s="344" t="str">
        <f t="shared" si="31"/>
        <v/>
      </c>
      <c r="AD92" s="339"/>
      <c r="AE92" s="364">
        <f>IF(AD92&gt;0,AD92*0.001*IF(OR(AA92&gt;$J$92,AB92&lt;$K$92), 0, IF(AA92&lt;$J$92,AB92-$J$92,IF($K$92&lt;AB92,AB92-$K$92,AC92)))/AC92,0)</f>
        <v>0</v>
      </c>
      <c r="AF92" s="348" t="e" cm="1">
        <f t="array" ref="AF92">IF('Pathway B benchmarks'!F39,INDEX('Pathway B benchmarks'!F39:F56,MATCH(1,($AE$6='Pathway B benchmarks'!A39:A56)*($M$92='Pathway B benchmarks'!B39:B56),0),1))</f>
        <v>#N/A</v>
      </c>
      <c r="AG92" s="349">
        <f t="shared" si="32"/>
        <v>0</v>
      </c>
      <c r="AH92" s="303"/>
      <c r="AI92" s="303"/>
      <c r="AJ92" s="344" t="str">
        <f t="shared" si="33"/>
        <v/>
      </c>
      <c r="AK92" s="339"/>
      <c r="AL92" s="363">
        <f>IF(AK92&gt;0,AK92*26.2*IF(OR(AH92&gt;$J$92,AI92&lt;$K$92), 0, IF(AH92&lt;$J$92,AI92-$J$92,IF($K$92&lt;AI92,AI92-$K$92,AJ92)))/AJ92,0)</f>
        <v>0</v>
      </c>
      <c r="AM92" s="345" t="e" cm="1">
        <f t="array" ref="AM92">IF('Pathway B benchmarks'!F39,INDEX('Pathway B benchmarks'!F39:F56,MATCH(1,($AL$6='Pathway B benchmarks'!A39:A56)*($M$92='Pathway B benchmarks'!B39:B56),0),1))</f>
        <v>#N/A</v>
      </c>
      <c r="AN92" s="347">
        <f t="shared" si="34"/>
        <v>0</v>
      </c>
      <c r="AO92" s="303"/>
      <c r="AP92" s="303"/>
      <c r="AQ92" s="344" t="str">
        <f t="shared" si="35"/>
        <v/>
      </c>
      <c r="AR92" s="339"/>
      <c r="AS92" s="363">
        <f>IF(AR92&gt;0,AR92*38.6*IF(OR(AO92&gt;$J$92,AP92&lt;$K$92), 0, IF(AO92&lt;$J$92,AP92-$J$92,IF($K$92&lt;AP92,AP92-$K$92,AQ92)))/AQ92,0)</f>
        <v>0</v>
      </c>
      <c r="AT92" s="345" t="e" cm="1">
        <f t="array" ref="AT92">IF('Pathway B benchmarks'!F39,INDEX('Pathway B benchmarks'!F39:F56,MATCH(1,($AS$6='Pathway B benchmarks'!A39:A56)*($M$92='Pathway B benchmarks'!B39:B56),0),1))</f>
        <v>#N/A</v>
      </c>
      <c r="AU92" s="347">
        <f t="shared" si="36"/>
        <v>0</v>
      </c>
      <c r="AV92" s="347" t="e">
        <f>IF($I92="","",IF($I92="Custom",0,INDEX('Pathway B benchmarks'!$17:$18,MATCH($I92,'Pathway B benchmarks'!$A$17:$A$18,0),MATCH($S92,'Pathway B benchmarks'!$17:$17,0))))</f>
        <v>#N/A</v>
      </c>
      <c r="AW92" s="347" t="e">
        <f>IF($I92="","",IF($I92="Custom",0,INDEX('Pathway B benchmarks'!$30:$34,2,MATCH($S92,'Pathway B benchmarks'!$30:$30,0))))</f>
        <v>#N/A</v>
      </c>
      <c r="AX92" s="345" t="e">
        <f>IF($AW$92=0,1,$Q$92/$AW$92)*$AV$92</f>
        <v>#N/A</v>
      </c>
      <c r="AY92" s="353" t="e">
        <f>$AX$92/1000*$Y92/0.0036</f>
        <v>#N/A</v>
      </c>
      <c r="AZ92" s="353" t="e">
        <f>$AY$92/70*100</f>
        <v>#N/A</v>
      </c>
      <c r="BA92" s="353" t="e">
        <f t="shared" si="37"/>
        <v>#N/A</v>
      </c>
      <c r="BB92" s="350">
        <f t="shared" si="38"/>
        <v>0</v>
      </c>
      <c r="BC92" s="350" t="e">
        <f t="shared" si="39"/>
        <v>#N/A</v>
      </c>
      <c r="BD92" s="351">
        <f>IF(OR(E92="Whole Building", E92="Hotel", E92="School", E92="Data Centre (Whole facility)", E92="Residential Aged Care", E92="Retirement Living", E92="RAC and retirement (co-located)"),VLOOKUP(BB92,'Points Table'!$B$13:$C$36,2,TRUE),IF(OR(E92="Base Building", E92="Shopping Centre", E92="Apartment", E92="Warehouse and Cold Store", E92="Data Centre (Infrastructure)"),VLOOKUP(BB92,'Points Table'!$E$13:$F$33,2,TRUE),0))</f>
        <v>0</v>
      </c>
      <c r="BE92" s="352" t="str">
        <f>IF(AND($E$92="Whole Building", $BD$92&gt;=10), "YES", IF(AND($E$92="Base Building", $BD$92&gt;=8), "YES", "NO"))</f>
        <v>NO</v>
      </c>
    </row>
    <row r="93" spans="2:57">
      <c r="B93" s="300"/>
      <c r="C93" s="300"/>
      <c r="D93" s="300"/>
      <c r="E93" s="300"/>
      <c r="F93" s="300"/>
      <c r="G93" s="300"/>
      <c r="H93" s="300"/>
      <c r="I93" s="343" t="s">
        <v>943</v>
      </c>
      <c r="J93" s="274"/>
      <c r="K93" s="274"/>
      <c r="L93" s="359">
        <f t="shared" si="27"/>
        <v>1</v>
      </c>
      <c r="M93" s="362">
        <f t="shared" si="28"/>
        <v>1900</v>
      </c>
      <c r="N93" s="300"/>
      <c r="O93" s="300"/>
      <c r="P93" s="300"/>
      <c r="Q93" s="300"/>
      <c r="R93" s="300"/>
      <c r="S93" s="300"/>
      <c r="T93" s="303"/>
      <c r="U93" s="303"/>
      <c r="V93" s="344" t="str">
        <f t="shared" si="29"/>
        <v/>
      </c>
      <c r="W93" s="339"/>
      <c r="X93" s="363">
        <f>IF(W93&gt;0,W93*0.0036*IF(OR(T93&gt;$J$93,U93&lt;$K$93), 0, IF(T93&lt;$J$93,U93-$J$93,IF($K$93&lt;U93,U93-$K$93,V93)))/V93,0)</f>
        <v>0</v>
      </c>
      <c r="Y93" s="346" t="e" cm="1">
        <f t="array" ref="Y93">IF('Pathway B benchmarks'!C61,INDEX('Pathway B benchmarks'!C61:C63,MATCH(1,($I$7='Pathway B benchmarks'!A61:A63)*($M$93='Pathway B benchmarks'!B61:B63),0),1))</f>
        <v>#N/A</v>
      </c>
      <c r="Z93" s="347" t="e">
        <f t="shared" si="30"/>
        <v>#N/A</v>
      </c>
      <c r="AA93" s="303"/>
      <c r="AB93" s="303"/>
      <c r="AC93" s="344" t="str">
        <f t="shared" si="31"/>
        <v/>
      </c>
      <c r="AD93" s="339"/>
      <c r="AE93" s="364">
        <f>IF(AD93&gt;0,AD93*0.001*IF(OR(AA93&gt;$J$93,AB93&lt;$K$93), 0, IF(AA93&lt;$J$93,AB93-$J$93,IF($K$93&lt;AB93,AB93-$K$93,AC93)))/AC93,0)</f>
        <v>0</v>
      </c>
      <c r="AF93" s="348" t="e" cm="1">
        <f t="array" ref="AF93">IF('Pathway B benchmarks'!F39,INDEX('Pathway B benchmarks'!F39:F56,MATCH(1,($AE$6='Pathway B benchmarks'!A39:A56)*($M$93='Pathway B benchmarks'!B39:B56),0),1))</f>
        <v>#N/A</v>
      </c>
      <c r="AG93" s="349">
        <f t="shared" si="32"/>
        <v>0</v>
      </c>
      <c r="AH93" s="303"/>
      <c r="AI93" s="303"/>
      <c r="AJ93" s="344" t="str">
        <f t="shared" si="33"/>
        <v/>
      </c>
      <c r="AK93" s="339"/>
      <c r="AL93" s="363">
        <f>IF(AK93&gt;0,AK93*26.2*IF(OR(AH93&gt;$J$93,AI93&lt;$K$93), 0, IF(AH93&lt;$J$93,AI93-$J$93,IF($K$93&lt;AI93,AI93-$K$93,AJ93)))/AJ93,0)</f>
        <v>0</v>
      </c>
      <c r="AM93" s="345" t="e" cm="1">
        <f t="array" ref="AM93">IF('Pathway B benchmarks'!F39,INDEX('Pathway B benchmarks'!F39:F56,MATCH(1,($AL$6='Pathway B benchmarks'!A39:A56)*($M$93='Pathway B benchmarks'!B39:B56),0),1))</f>
        <v>#N/A</v>
      </c>
      <c r="AN93" s="347">
        <f t="shared" si="34"/>
        <v>0</v>
      </c>
      <c r="AO93" s="303"/>
      <c r="AP93" s="303"/>
      <c r="AQ93" s="344" t="str">
        <f t="shared" si="35"/>
        <v/>
      </c>
      <c r="AR93" s="339"/>
      <c r="AS93" s="363">
        <f>IF(AR93&gt;0,AR93*38.6*IF(OR(AO93&gt;$J$93,AP93&lt;$K$93), 0, IF(AO93&lt;$J$93,AP93-$J$93,IF($K$93&lt;AP93,AP93-$K$93,AQ93)))/AQ93,0)</f>
        <v>0</v>
      </c>
      <c r="AT93" s="345" t="e" cm="1">
        <f t="array" ref="AT93">IF('Pathway B benchmarks'!F39,INDEX('Pathway B benchmarks'!F39:F56,MATCH(1,($AS$6='Pathway B benchmarks'!A39:A56)*($M$93='Pathway B benchmarks'!B39:B56),0),1))</f>
        <v>#N/A</v>
      </c>
      <c r="AU93" s="347">
        <f t="shared" si="36"/>
        <v>0</v>
      </c>
      <c r="AV93" s="347" t="e">
        <f>IF($I93="","",IF($I93="Custom",0,INDEX('Pathway B benchmarks'!$17:$18,MATCH($I93,'Pathway B benchmarks'!$A$17:$A$18,0),MATCH($S93,'Pathway B benchmarks'!$17:$17,0))))</f>
        <v>#N/A</v>
      </c>
      <c r="AW93" s="347" t="e">
        <f>IF($I93="","",IF($I93="Custom",0,INDEX('Pathway B benchmarks'!$30:$34,2,MATCH($S93,'Pathway B benchmarks'!$30:$30,0))))</f>
        <v>#N/A</v>
      </c>
      <c r="AX93" s="345" t="e">
        <f>IF($AW$93=0,1,$Q$93/$AW$93)*$AV$93</f>
        <v>#N/A</v>
      </c>
      <c r="AY93" s="353" t="e">
        <f>$AX$93/1000*$Y93/0.0036</f>
        <v>#N/A</v>
      </c>
      <c r="AZ93" s="353" t="e">
        <f>$AY$93/70*100</f>
        <v>#N/A</v>
      </c>
      <c r="BA93" s="353" t="e">
        <f t="shared" si="37"/>
        <v>#N/A</v>
      </c>
      <c r="BB93" s="350">
        <f t="shared" si="38"/>
        <v>0</v>
      </c>
      <c r="BC93" s="350" t="e">
        <f t="shared" si="39"/>
        <v>#N/A</v>
      </c>
      <c r="BD93" s="351">
        <f>IF(OR(E93="Whole Building", E93="Hotel", E93="School", E93="Data Centre (Whole facility)", E93="Residential Aged Care", E93="Retirement Living", E93="RAC and retirement (co-located)"),VLOOKUP(BB93,'Points Table'!$B$13:$C$36,2,TRUE),IF(OR(E93="Base Building", E93="Shopping Centre", E93="Apartment", E93="Warehouse and Cold Store", E93="Data Centre (Infrastructure)"),VLOOKUP(BB93,'Points Table'!$E$13:$F$33,2,TRUE),0))</f>
        <v>0</v>
      </c>
      <c r="BE93" s="352" t="str">
        <f>IF(AND($E$93="Whole Building", $BD$93&gt;=10), "YES", IF(AND($E$93="Base Building", $BD$93&gt;=8), "YES", "NO"))</f>
        <v>NO</v>
      </c>
    </row>
    <row r="94" spans="2:57">
      <c r="B94" s="300"/>
      <c r="C94" s="300"/>
      <c r="D94" s="300"/>
      <c r="E94" s="300"/>
      <c r="F94" s="300"/>
      <c r="G94" s="300"/>
      <c r="H94" s="300"/>
      <c r="I94" s="343" t="s">
        <v>943</v>
      </c>
      <c r="J94" s="274"/>
      <c r="K94" s="274"/>
      <c r="L94" s="359">
        <f t="shared" si="27"/>
        <v>1</v>
      </c>
      <c r="M94" s="362">
        <f t="shared" si="28"/>
        <v>1900</v>
      </c>
      <c r="N94" s="300"/>
      <c r="O94" s="300"/>
      <c r="P94" s="300"/>
      <c r="Q94" s="300"/>
      <c r="R94" s="300"/>
      <c r="S94" s="300"/>
      <c r="T94" s="303"/>
      <c r="U94" s="303"/>
      <c r="V94" s="344" t="str">
        <f t="shared" si="29"/>
        <v/>
      </c>
      <c r="W94" s="339"/>
      <c r="X94" s="363">
        <f>IF(W94&gt;0,W94*0.0036*IF(OR(T94&gt;$J$94,U94&lt;$K$94), 0, IF(T94&lt;$J$94,U94-$J$94,IF($K$94&lt;U94,U94-$K$94,V94)))/V94,0)</f>
        <v>0</v>
      </c>
      <c r="Y94" s="346" t="e" cm="1">
        <f t="array" ref="Y94">IF('Pathway B benchmarks'!C61,INDEX('Pathway B benchmarks'!C61:C63,MATCH(1,($I$7='Pathway B benchmarks'!A61:A63)*($M$94='Pathway B benchmarks'!B61:B63),0),1))</f>
        <v>#N/A</v>
      </c>
      <c r="Z94" s="347" t="e">
        <f t="shared" si="30"/>
        <v>#N/A</v>
      </c>
      <c r="AA94" s="303"/>
      <c r="AB94" s="303"/>
      <c r="AC94" s="344" t="str">
        <f t="shared" si="31"/>
        <v/>
      </c>
      <c r="AD94" s="339"/>
      <c r="AE94" s="364">
        <f>IF(AD94&gt;0,AD94*0.001*IF(OR(AA94&gt;$J$94,AB94&lt;$K$94), 0, IF(AA94&lt;$J$94,AB94-$J$94,IF($K$94&lt;AB94,AB94-$K$94,AC94)))/AC94,0)</f>
        <v>0</v>
      </c>
      <c r="AF94" s="348" t="e" cm="1">
        <f t="array" ref="AF94">IF('Pathway B benchmarks'!F39,INDEX('Pathway B benchmarks'!F39:F56,MATCH(1,($AE$6='Pathway B benchmarks'!A39:A56)*($M$94='Pathway B benchmarks'!B39:B56),0),1))</f>
        <v>#N/A</v>
      </c>
      <c r="AG94" s="349">
        <f t="shared" si="32"/>
        <v>0</v>
      </c>
      <c r="AH94" s="303"/>
      <c r="AI94" s="303"/>
      <c r="AJ94" s="344" t="str">
        <f t="shared" si="33"/>
        <v/>
      </c>
      <c r="AK94" s="339"/>
      <c r="AL94" s="363">
        <f>IF(AK94&gt;0,AK94*26.2*IF(OR(AH94&gt;$J$94,AI94&lt;$K$94), 0, IF(AH94&lt;$J$94,AI94-$J$94,IF($K$94&lt;AI94,AI94-$K$94,AJ94)))/AJ94,0)</f>
        <v>0</v>
      </c>
      <c r="AM94" s="345" t="e" cm="1">
        <f t="array" ref="AM94">IF('Pathway B benchmarks'!F39,INDEX('Pathway B benchmarks'!F39:F56,MATCH(1,($AL$6='Pathway B benchmarks'!A39:A56)*($M$94='Pathway B benchmarks'!B39:B56),0),1))</f>
        <v>#N/A</v>
      </c>
      <c r="AN94" s="347">
        <f t="shared" si="34"/>
        <v>0</v>
      </c>
      <c r="AO94" s="303"/>
      <c r="AP94" s="303"/>
      <c r="AQ94" s="344" t="str">
        <f t="shared" si="35"/>
        <v/>
      </c>
      <c r="AR94" s="339"/>
      <c r="AS94" s="363">
        <f>IF(AR94&gt;0,AR94*38.6*IF(OR(AO94&gt;$J$94,AP94&lt;$K$94), 0, IF(AO94&lt;$J$94,AP94-$J$93,IF($K$94&lt;AP94,AP94-$K$94,AQ94)))/AQ94,0)</f>
        <v>0</v>
      </c>
      <c r="AT94" s="345" t="e" cm="1">
        <f t="array" ref="AT94">IF('Pathway B benchmarks'!F39,INDEX('Pathway B benchmarks'!F39:F56,MATCH(1,($AS$6='Pathway B benchmarks'!A39:A56)*($M$94='Pathway B benchmarks'!B39:B56),0),1))</f>
        <v>#N/A</v>
      </c>
      <c r="AU94" s="347">
        <f t="shared" si="36"/>
        <v>0</v>
      </c>
      <c r="AV94" s="347" t="e">
        <f>IF($I94="","",IF($I94="Custom",0,INDEX('Pathway B benchmarks'!$17:$18,MATCH($I94,'Pathway B benchmarks'!$A$17:$A$18,0),MATCH($S94,'Pathway B benchmarks'!$17:$17,0))))</f>
        <v>#N/A</v>
      </c>
      <c r="AW94" s="347" t="e">
        <f>IF($I94="","",IF($I94="Custom",0,INDEX('Pathway B benchmarks'!$30:$34,2,MATCH($S94,'Pathway B benchmarks'!$30:$30,0))))</f>
        <v>#N/A</v>
      </c>
      <c r="AX94" s="345" t="e">
        <f>IF($AW$94=0,1,$Q$94/$AW$94)*$AV$94</f>
        <v>#N/A</v>
      </c>
      <c r="AY94" s="353" t="e">
        <f>$AX$94/1000*$Y94/0.0036</f>
        <v>#N/A</v>
      </c>
      <c r="AZ94" s="353" t="e">
        <f>$AY$94/70*100</f>
        <v>#N/A</v>
      </c>
      <c r="BA94" s="353" t="e">
        <f t="shared" si="37"/>
        <v>#N/A</v>
      </c>
      <c r="BB94" s="350">
        <f t="shared" si="38"/>
        <v>0</v>
      </c>
      <c r="BC94" s="350" t="e">
        <f t="shared" si="39"/>
        <v>#N/A</v>
      </c>
      <c r="BD94" s="351">
        <f>IF(OR(E94="Whole Building", E94="Hotel", E94="School", E94="Data Centre (Whole facility)", E94="Residential Aged Care", E94="Retirement Living", E94="RAC and retirement (co-located)"),VLOOKUP(BB94,'Points Table'!$B$13:$C$36,2,TRUE),IF(OR(E94="Base Building", E94="Shopping Centre", E94="Apartment", E94="Warehouse and Cold Store", E94="Data Centre (Infrastructure)"),VLOOKUP(BB94,'Points Table'!$E$13:$F$33,2,TRUE),0))</f>
        <v>0</v>
      </c>
      <c r="BE94" s="352" t="str">
        <f>IF(AND($E$94="Whole Building", $BD$94&gt;=10), "YES", IF(AND($E$94="Base Building", $BD$94&gt;=8), "YES", "NO"))</f>
        <v>NO</v>
      </c>
    </row>
    <row r="95" spans="2:57">
      <c r="B95" s="300"/>
      <c r="C95" s="300"/>
      <c r="D95" s="300"/>
      <c r="E95" s="300"/>
      <c r="F95" s="300"/>
      <c r="G95" s="300"/>
      <c r="H95" s="300"/>
      <c r="I95" s="343" t="s">
        <v>943</v>
      </c>
      <c r="J95" s="274"/>
      <c r="K95" s="274"/>
      <c r="L95" s="359">
        <f t="shared" si="27"/>
        <v>1</v>
      </c>
      <c r="M95" s="362">
        <f t="shared" si="28"/>
        <v>1900</v>
      </c>
      <c r="N95" s="300"/>
      <c r="O95" s="300"/>
      <c r="P95" s="300"/>
      <c r="Q95" s="300"/>
      <c r="R95" s="300"/>
      <c r="S95" s="300"/>
      <c r="T95" s="303"/>
      <c r="U95" s="303"/>
      <c r="V95" s="344" t="str">
        <f t="shared" si="29"/>
        <v/>
      </c>
      <c r="W95" s="339"/>
      <c r="X95" s="363">
        <f>IF(W95&gt;0,W95*0.0036*IF(OR(T95&gt;$J$95,U95&lt;$K$95), 0, IF(T95&lt;$J$95,U95-$J$95,IF($K$95&lt;U95,U95-$K$95,V95)))/V95,0)</f>
        <v>0</v>
      </c>
      <c r="Y95" s="346" t="e" cm="1">
        <f t="array" ref="Y95">IF('Pathway B benchmarks'!C61,INDEX('Pathway B benchmarks'!C61:C63,MATCH(1,($I$7='Pathway B benchmarks'!A61:A63)*($M$95='Pathway B benchmarks'!B61:B63),0),1))</f>
        <v>#N/A</v>
      </c>
      <c r="Z95" s="347" t="e">
        <f t="shared" si="30"/>
        <v>#N/A</v>
      </c>
      <c r="AA95" s="303"/>
      <c r="AB95" s="303"/>
      <c r="AC95" s="344" t="str">
        <f t="shared" si="31"/>
        <v/>
      </c>
      <c r="AD95" s="339"/>
      <c r="AE95" s="364">
        <f>IF(AD95&gt;0,AD95*0.001*IF(OR(AA95&gt;$J$95,AB95&lt;$K$95), 0, IF(AA95&lt;$J$95,AB95-$J$95,IF($K$95&lt;AB95,AB95-$K$95,AC95)))/AC95,0)</f>
        <v>0</v>
      </c>
      <c r="AF95" s="348" t="e" cm="1">
        <f t="array" ref="AF95">IF('Pathway B benchmarks'!F39,INDEX('Pathway B benchmarks'!F39:F56,MATCH(1,($AE$6='Pathway B benchmarks'!A39:A56)*($M$95='Pathway B benchmarks'!B39:B56),0),1))</f>
        <v>#N/A</v>
      </c>
      <c r="AG95" s="349">
        <f t="shared" si="32"/>
        <v>0</v>
      </c>
      <c r="AH95" s="303"/>
      <c r="AI95" s="303"/>
      <c r="AJ95" s="344" t="str">
        <f t="shared" si="33"/>
        <v/>
      </c>
      <c r="AK95" s="339"/>
      <c r="AL95" s="363">
        <f>IF(AK95&gt;0,AK95*26.2*IF(OR(AH95&gt;$J$95,AI95&lt;$K$95), 0, IF(AH95&lt;$J$95,AI95-$J$95,IF($K$95&lt;AI95,AI95-$K$95,AJ95)))/AJ95,0)</f>
        <v>0</v>
      </c>
      <c r="AM95" s="345" t="e" cm="1">
        <f t="array" ref="AM95">IF('Pathway B benchmarks'!F39,INDEX('Pathway B benchmarks'!F39:F56,MATCH(1,($AL$6='Pathway B benchmarks'!A39:A56)*($M$95='Pathway B benchmarks'!B39:B56),0),1))</f>
        <v>#N/A</v>
      </c>
      <c r="AN95" s="347">
        <f t="shared" si="34"/>
        <v>0</v>
      </c>
      <c r="AO95" s="303"/>
      <c r="AP95" s="303"/>
      <c r="AQ95" s="344" t="str">
        <f t="shared" si="35"/>
        <v/>
      </c>
      <c r="AR95" s="339"/>
      <c r="AS95" s="363">
        <f>IF(AR95&gt;0,AR95*38.6*IF(OR(AO95&gt;$J$95,AP95&lt;$K$95), 0, IF(AO95&lt;$J$95,AP95-$J$95,IF($K$95&lt;AP95,AP95-$K$95,AQ95)))/AQ95,0)</f>
        <v>0</v>
      </c>
      <c r="AT95" s="345" t="e" cm="1">
        <f t="array" ref="AT95">IF('Pathway B benchmarks'!F39,INDEX('Pathway B benchmarks'!F39:F56,MATCH(1,($AS$6='Pathway B benchmarks'!A39:A56)*($M$95='Pathway B benchmarks'!B39:B56),0),1))</f>
        <v>#N/A</v>
      </c>
      <c r="AU95" s="347">
        <f t="shared" si="36"/>
        <v>0</v>
      </c>
      <c r="AV95" s="347" t="e">
        <f>IF($I95="","",IF($I95="Custom",0,INDEX('Pathway B benchmarks'!$17:$18,MATCH($I95,'Pathway B benchmarks'!$A$17:$A$18,0),MATCH($S95,'Pathway B benchmarks'!$17:$17,0))))</f>
        <v>#N/A</v>
      </c>
      <c r="AW95" s="347" t="e">
        <f>IF($I95="","",IF($I95="Custom",0,INDEX('Pathway B benchmarks'!$30:$34,2,MATCH($S95,'Pathway B benchmarks'!$30:$30,0))))</f>
        <v>#N/A</v>
      </c>
      <c r="AX95" s="345" t="e">
        <f>IF($AW$95=0,1,$Q$95/$AW$95)*$AV$95</f>
        <v>#N/A</v>
      </c>
      <c r="AY95" s="353" t="e">
        <f>$AX$95/1000*$Y95/0.0036</f>
        <v>#N/A</v>
      </c>
      <c r="AZ95" s="353" t="e">
        <f>$AY$95/70*100</f>
        <v>#N/A</v>
      </c>
      <c r="BA95" s="353" t="e">
        <f t="shared" si="37"/>
        <v>#N/A</v>
      </c>
      <c r="BB95" s="350">
        <f t="shared" si="38"/>
        <v>0</v>
      </c>
      <c r="BC95" s="350" t="e">
        <f t="shared" si="39"/>
        <v>#N/A</v>
      </c>
      <c r="BD95" s="351">
        <f>IF(OR(E95="Whole Building", E95="Hotel", E95="School", E95="Data Centre (Whole facility)", E95="Residential Aged Care", E95="Retirement Living", E95="RAC and retirement (co-located)"),VLOOKUP(BB95,'Points Table'!$B$13:$C$36,2,TRUE),IF(OR(E95="Base Building", E95="Shopping Centre", E95="Apartment", E95="Warehouse and Cold Store", E95="Data Centre (Infrastructure)"),VLOOKUP(BB95,'Points Table'!$E$13:$F$33,2,TRUE),0))</f>
        <v>0</v>
      </c>
      <c r="BE95" s="352" t="str">
        <f>IF(AND($E$95="Whole Building", $BD$95&gt;=10), "YES", IF(AND($E$95="Base Building", $BD$95&gt;=8), "YES", "NO"))</f>
        <v>NO</v>
      </c>
    </row>
    <row r="96" spans="2:57">
      <c r="B96" s="300"/>
      <c r="C96" s="300"/>
      <c r="D96" s="300"/>
      <c r="E96" s="300"/>
      <c r="F96" s="300"/>
      <c r="G96" s="300"/>
      <c r="H96" s="300"/>
      <c r="I96" s="343" t="s">
        <v>943</v>
      </c>
      <c r="J96" s="274"/>
      <c r="K96" s="274"/>
      <c r="L96" s="359">
        <f t="shared" si="27"/>
        <v>1</v>
      </c>
      <c r="M96" s="362">
        <f t="shared" si="28"/>
        <v>1900</v>
      </c>
      <c r="N96" s="300"/>
      <c r="O96" s="300"/>
      <c r="P96" s="300"/>
      <c r="Q96" s="300"/>
      <c r="R96" s="300"/>
      <c r="S96" s="300"/>
      <c r="T96" s="303"/>
      <c r="U96" s="303"/>
      <c r="V96" s="344" t="str">
        <f t="shared" si="29"/>
        <v/>
      </c>
      <c r="W96" s="339"/>
      <c r="X96" s="363">
        <f>IF(W96&gt;0,W96*0.0036*IF(OR(T96&gt;$J$96,U96&lt;$K$96), 0, IF(T96&lt;$J$96,U96-$J$96,IF($K$96&lt;U96,U96-$K$96,V96)))/V96,0)</f>
        <v>0</v>
      </c>
      <c r="Y96" s="346" t="e" cm="1">
        <f t="array" ref="Y96">IF('Pathway B benchmarks'!C61,INDEX('Pathway B benchmarks'!C61:C63,MATCH(1,($I$7='Pathway B benchmarks'!A61:A63)*($M$96='Pathway B benchmarks'!B61:B63),0),1))</f>
        <v>#N/A</v>
      </c>
      <c r="Z96" s="347" t="e">
        <f t="shared" si="30"/>
        <v>#N/A</v>
      </c>
      <c r="AA96" s="303"/>
      <c r="AB96" s="303"/>
      <c r="AC96" s="344" t="str">
        <f t="shared" si="31"/>
        <v/>
      </c>
      <c r="AD96" s="339"/>
      <c r="AE96" s="364">
        <f>IF(AD96&gt;0,AD96*0.001*IF(OR(AA96&gt;$J$96,AB96&lt;$K$96), 0, IF(AA96&lt;$J$96,AB96-$J$96,IF($K$96&lt;AB96,AB96-$K$96,AC96)))/AC96,0)</f>
        <v>0</v>
      </c>
      <c r="AF96" s="348" t="e" cm="1">
        <f t="array" ref="AF96">IF('Pathway B benchmarks'!F39,INDEX('Pathway B benchmarks'!F39:F56,MATCH(1,($AE$6='Pathway B benchmarks'!A39:A56)*($M$96='Pathway B benchmarks'!B39:B56),0),1))</f>
        <v>#N/A</v>
      </c>
      <c r="AG96" s="349">
        <f t="shared" si="32"/>
        <v>0</v>
      </c>
      <c r="AH96" s="303"/>
      <c r="AI96" s="303"/>
      <c r="AJ96" s="344" t="str">
        <f t="shared" si="33"/>
        <v/>
      </c>
      <c r="AK96" s="339"/>
      <c r="AL96" s="363">
        <f>IF(AK96&gt;0,AK96*26.2*IF(OR(AH96&gt;$J$96,AI96&lt;$K$96), 0, IF(AH96&lt;$J$96,AI96-$J$96,IF($K$96&lt;AI96,AI96-$K$96,AJ96)))/AJ96,0)</f>
        <v>0</v>
      </c>
      <c r="AM96" s="345" t="e" cm="1">
        <f t="array" ref="AM96">IF('Pathway B benchmarks'!F39,INDEX('Pathway B benchmarks'!F39:F56,MATCH(1,($AL$6='Pathway B benchmarks'!A39:A56)*($M$96='Pathway B benchmarks'!B39:B56),0),1))</f>
        <v>#N/A</v>
      </c>
      <c r="AN96" s="347">
        <f t="shared" si="34"/>
        <v>0</v>
      </c>
      <c r="AO96" s="303"/>
      <c r="AP96" s="303"/>
      <c r="AQ96" s="344" t="str">
        <f t="shared" si="35"/>
        <v/>
      </c>
      <c r="AR96" s="339"/>
      <c r="AS96" s="363">
        <f>IF(AR96&gt;0,AR96*38.6*IF(OR(AO96&gt;$J$96,AP96&lt;$K$96), 0, IF(AO96&lt;$J$96,AP96-$J$96,IF($K$96&lt;AP96,AP96-$K$96,AQ96)))/AQ96,0)</f>
        <v>0</v>
      </c>
      <c r="AT96" s="345" t="e" cm="1">
        <f t="array" ref="AT96">IF('Pathway B benchmarks'!F39,INDEX('Pathway B benchmarks'!F39:F56,MATCH(1,($AS$6='Pathway B benchmarks'!A39:A56)*($M$96='Pathway B benchmarks'!B39:B56),0),1))</f>
        <v>#N/A</v>
      </c>
      <c r="AU96" s="347">
        <f t="shared" si="36"/>
        <v>0</v>
      </c>
      <c r="AV96" s="347" t="e">
        <f>IF($I96="","",IF($I96="Custom",0,INDEX('Pathway B benchmarks'!$17:$18,MATCH($I96,'Pathway B benchmarks'!$A$17:$A$18,0),MATCH($S96,'Pathway B benchmarks'!$17:$17,0))))</f>
        <v>#N/A</v>
      </c>
      <c r="AW96" s="347" t="e">
        <f>IF($I96="","",IF($I96="Custom",0,INDEX('Pathway B benchmarks'!$30:$34,2,MATCH($S96,'Pathway B benchmarks'!$30:$30,0))))</f>
        <v>#N/A</v>
      </c>
      <c r="AX96" s="345" t="e">
        <f>IF($AW$96=0,1,$Q$96/$AW$96)*$AV$96</f>
        <v>#N/A</v>
      </c>
      <c r="AY96" s="353" t="e">
        <f>$AX$96/1000*$Y96/0.0036</f>
        <v>#N/A</v>
      </c>
      <c r="AZ96" s="353" t="e">
        <f>$AY$96/70*100</f>
        <v>#N/A</v>
      </c>
      <c r="BA96" s="353" t="e">
        <f t="shared" si="37"/>
        <v>#N/A</v>
      </c>
      <c r="BB96" s="350">
        <f t="shared" si="38"/>
        <v>0</v>
      </c>
      <c r="BC96" s="350" t="e">
        <f t="shared" si="39"/>
        <v>#N/A</v>
      </c>
      <c r="BD96" s="351">
        <f>IF(OR(E96="Whole Building", E96="Hotel", E96="School", E96="Data Centre (Whole facility)", E96="Residential Aged Care", E96="Retirement Living", E96="RAC and retirement (co-located)"),VLOOKUP(BB96,'Points Table'!$B$13:$C$36,2,TRUE),IF(OR(E96="Base Building", E96="Shopping Centre", E96="Apartment", E96="Warehouse and Cold Store", E96="Data Centre (Infrastructure)"),VLOOKUP(BB96,'Points Table'!$E$13:$F$33,2,TRUE),0))</f>
        <v>0</v>
      </c>
      <c r="BE96" s="352" t="str">
        <f>IF(AND($E$96="Whole Building", $BD$96&gt;=10), "YES", IF(AND($E$96="Base Building", $BD$96&gt;=8), "YES", "NO"))</f>
        <v>NO</v>
      </c>
    </row>
    <row r="97" spans="2:57">
      <c r="B97" s="300"/>
      <c r="C97" s="300"/>
      <c r="D97" s="300"/>
      <c r="E97" s="300"/>
      <c r="F97" s="300"/>
      <c r="G97" s="300"/>
      <c r="H97" s="300"/>
      <c r="I97" s="343" t="s">
        <v>943</v>
      </c>
      <c r="J97" s="274"/>
      <c r="K97" s="274"/>
      <c r="L97" s="359">
        <f t="shared" si="27"/>
        <v>1</v>
      </c>
      <c r="M97" s="362">
        <f t="shared" si="28"/>
        <v>1900</v>
      </c>
      <c r="N97" s="300"/>
      <c r="O97" s="300"/>
      <c r="P97" s="300"/>
      <c r="Q97" s="300"/>
      <c r="R97" s="300"/>
      <c r="S97" s="300"/>
      <c r="T97" s="303"/>
      <c r="U97" s="303"/>
      <c r="V97" s="344" t="str">
        <f t="shared" si="29"/>
        <v/>
      </c>
      <c r="W97" s="339"/>
      <c r="X97" s="363">
        <f>IF(W97&gt;0,W97*0.0036*IF(OR(T97&gt;$J$97,U97&lt;$K$97), 0, IF(T97&lt;$J$97,U97-$J$97,IF($K$97&lt;U97,U97-$K$97,V97)))/V97,0)</f>
        <v>0</v>
      </c>
      <c r="Y97" s="346" t="e" cm="1">
        <f t="array" ref="Y97">IF('Pathway B benchmarks'!C61,INDEX('Pathway B benchmarks'!C61:C63,MATCH(1,($I$7='Pathway B benchmarks'!A61:A63)*($M$97='Pathway B benchmarks'!B61:B63),0),1))</f>
        <v>#N/A</v>
      </c>
      <c r="Z97" s="347" t="e">
        <f t="shared" si="30"/>
        <v>#N/A</v>
      </c>
      <c r="AA97" s="303"/>
      <c r="AB97" s="303"/>
      <c r="AC97" s="344" t="str">
        <f t="shared" si="31"/>
        <v/>
      </c>
      <c r="AD97" s="339"/>
      <c r="AE97" s="364">
        <f>IF(AD97&gt;0,AD97*0.001*IF(OR(AA97&gt;$J$97,AB97&lt;$K$97), 0, IF(AA97&lt;$J$97,AB97-$J$97,IF($K$97&lt;AB97,AB97-$K$97,AC97)))/AC97,0)</f>
        <v>0</v>
      </c>
      <c r="AF97" s="348" t="e" cm="1">
        <f t="array" ref="AF97">IF('Pathway B benchmarks'!F39,INDEX('Pathway B benchmarks'!F39:F56,MATCH(1,($AE$6='Pathway B benchmarks'!A39:A56)*($M$97='Pathway B benchmarks'!B39:B56),0),1))</f>
        <v>#N/A</v>
      </c>
      <c r="AG97" s="349">
        <f t="shared" si="32"/>
        <v>0</v>
      </c>
      <c r="AH97" s="303"/>
      <c r="AI97" s="303"/>
      <c r="AJ97" s="344" t="str">
        <f t="shared" si="33"/>
        <v/>
      </c>
      <c r="AK97" s="339"/>
      <c r="AL97" s="363">
        <f>IF(AK97&gt;0,AK97*26.2*IF(OR(AH97&gt;$J$97,AI97&lt;$K$97), 0, IF(AH97&lt;$J$97,AI97-$J$97,IF($K$97&lt;AI97,AI97-$K$97,AJ97)))/AJ97,0)</f>
        <v>0</v>
      </c>
      <c r="AM97" s="345" t="e" cm="1">
        <f t="array" ref="AM97">IF('Pathway B benchmarks'!F39,INDEX('Pathway B benchmarks'!F39:F56,MATCH(1,($AL$6='Pathway B benchmarks'!A39:A56)*($M$97='Pathway B benchmarks'!B39:B56),0),1))</f>
        <v>#N/A</v>
      </c>
      <c r="AN97" s="347">
        <f t="shared" si="34"/>
        <v>0</v>
      </c>
      <c r="AO97" s="303"/>
      <c r="AP97" s="303"/>
      <c r="AQ97" s="344" t="str">
        <f t="shared" si="35"/>
        <v/>
      </c>
      <c r="AR97" s="339"/>
      <c r="AS97" s="363">
        <f>IF(AR97&gt;0,AR97*38.6*IF(OR(AO97&gt;$J$97,AP97&lt;$K$97), 0, IF(AO97&lt;$J$97,AP97-$J$97,IF($K$97&lt;AP97,AP97-$K$97,AQ97)))/AQ97,0)</f>
        <v>0</v>
      </c>
      <c r="AT97" s="345" t="e" cm="1">
        <f t="array" ref="AT97">IF('Pathway B benchmarks'!F39,INDEX('Pathway B benchmarks'!F39:F56,MATCH(1,($AS$6='Pathway B benchmarks'!A39:A56)*($M$97='Pathway B benchmarks'!B39:B56),0),1))</f>
        <v>#N/A</v>
      </c>
      <c r="AU97" s="347">
        <f t="shared" si="36"/>
        <v>0</v>
      </c>
      <c r="AV97" s="347" t="e">
        <f>IF($I97="","",IF($I97="Custom",0,INDEX('Pathway B benchmarks'!$17:$18,MATCH($I97,'Pathway B benchmarks'!$A$17:$A$18,0),MATCH($S97,'Pathway B benchmarks'!$17:$17,0))))</f>
        <v>#N/A</v>
      </c>
      <c r="AW97" s="347" t="e">
        <f>IF($I97="","",IF($I97="Custom",0,INDEX('Pathway B benchmarks'!$30:$34,2,MATCH($S97,'Pathway B benchmarks'!$30:$30,0))))</f>
        <v>#N/A</v>
      </c>
      <c r="AX97" s="345" t="e">
        <f>IF($AW$97=0,1,$Q$97/$AW$97)*$AV$97</f>
        <v>#N/A</v>
      </c>
      <c r="AY97" s="353" t="e">
        <f>$AX$97/1000*$Y97/0.0036</f>
        <v>#N/A</v>
      </c>
      <c r="AZ97" s="353" t="e">
        <f>$AY$97/70*100</f>
        <v>#N/A</v>
      </c>
      <c r="BA97" s="353" t="e">
        <f t="shared" si="37"/>
        <v>#N/A</v>
      </c>
      <c r="BB97" s="350">
        <f t="shared" si="38"/>
        <v>0</v>
      </c>
      <c r="BC97" s="350" t="e">
        <f t="shared" si="39"/>
        <v>#N/A</v>
      </c>
      <c r="BD97" s="351">
        <f>IF(OR(E97="Whole Building", E97="Hotel", E97="School", E97="Data Centre (Whole facility)", E97="Residential Aged Care", E97="Retirement Living", E97="RAC and retirement (co-located)"),VLOOKUP(BB97,'Points Table'!$B$13:$C$36,2,TRUE),IF(OR(E97="Base Building", E97="Shopping Centre", E97="Apartment", E97="Warehouse and Cold Store", E97="Data Centre (Infrastructure)"),VLOOKUP(BB97,'Points Table'!$E$13:$F$33,2,TRUE),0))</f>
        <v>0</v>
      </c>
      <c r="BE97" s="352" t="str">
        <f>IF(AND($E$97="Whole Building", $BD$97&gt;=10), "YES", IF(AND($E$97="Base Building", $BD$97&gt;=8), "YES", "NO"))</f>
        <v>NO</v>
      </c>
    </row>
    <row r="98" spans="2:57">
      <c r="B98" s="300"/>
      <c r="C98" s="300"/>
      <c r="D98" s="300"/>
      <c r="E98" s="300"/>
      <c r="F98" s="300"/>
      <c r="G98" s="300"/>
      <c r="H98" s="300"/>
      <c r="I98" s="343" t="s">
        <v>943</v>
      </c>
      <c r="J98" s="274"/>
      <c r="K98" s="274"/>
      <c r="L98" s="359">
        <f t="shared" si="27"/>
        <v>1</v>
      </c>
      <c r="M98" s="362">
        <f t="shared" si="28"/>
        <v>1900</v>
      </c>
      <c r="N98" s="300"/>
      <c r="O98" s="300"/>
      <c r="P98" s="300"/>
      <c r="Q98" s="300"/>
      <c r="R98" s="300"/>
      <c r="S98" s="300"/>
      <c r="T98" s="303"/>
      <c r="U98" s="303"/>
      <c r="V98" s="344" t="str">
        <f t="shared" si="29"/>
        <v/>
      </c>
      <c r="W98" s="339"/>
      <c r="X98" s="363">
        <f>IF(W98&gt;0,W98*0.0036*IF(OR(T98&gt;$J$98,U98&lt;$K$98), 0, IF(T98&lt;$J$98,U98-$J$98,IF($K$98&lt;U98,U98-$K$98,V98)))/V98,0)</f>
        <v>0</v>
      </c>
      <c r="Y98" s="346" t="e" cm="1">
        <f t="array" ref="Y98">IF('Pathway B benchmarks'!C61,INDEX('Pathway B benchmarks'!C61:C63,MATCH(1,($I$7='Pathway B benchmarks'!A61:A63)*($M$98='Pathway B benchmarks'!B61:B63),0),1))</f>
        <v>#N/A</v>
      </c>
      <c r="Z98" s="347" t="e">
        <f t="shared" si="30"/>
        <v>#N/A</v>
      </c>
      <c r="AA98" s="303"/>
      <c r="AB98" s="303"/>
      <c r="AC98" s="344" t="str">
        <f t="shared" si="31"/>
        <v/>
      </c>
      <c r="AD98" s="339"/>
      <c r="AE98" s="364">
        <f>IF(AD98&gt;0,AD98*0.001*IF(OR(AA98&gt;$J$98,AB98&lt;$K$98), 0, IF(AA98&lt;$J$98,AB98-$J$98,IF($K$98&lt;AB98,AB98-$K$98,AC98)))/AC98,0)</f>
        <v>0</v>
      </c>
      <c r="AF98" s="348" t="e" cm="1">
        <f t="array" ref="AF98">IF('Pathway B benchmarks'!F39,INDEX('Pathway B benchmarks'!F39:F56,MATCH(1,($AE$6='Pathway B benchmarks'!A39:A56)*($M$98='Pathway B benchmarks'!B39:B56),0),1))</f>
        <v>#N/A</v>
      </c>
      <c r="AG98" s="349">
        <f t="shared" si="32"/>
        <v>0</v>
      </c>
      <c r="AH98" s="303"/>
      <c r="AI98" s="303"/>
      <c r="AJ98" s="344" t="str">
        <f t="shared" si="33"/>
        <v/>
      </c>
      <c r="AK98" s="339"/>
      <c r="AL98" s="363">
        <f>IF(AK98&gt;0,AK98*26.2*IF(OR(AH98&gt;$J$98,AI98&lt;$K$98), 0, IF(AH98&lt;$J$98,AI98-$J$98,IF($K$98&lt;AI98,AI98-$K$98,AJ98)))/AJ98,0)</f>
        <v>0</v>
      </c>
      <c r="AM98" s="345" t="e" cm="1">
        <f t="array" ref="AM98">IF('Pathway B benchmarks'!F39,INDEX('Pathway B benchmarks'!F39:F56,MATCH(1,($AL$6='Pathway B benchmarks'!A39:A56)*($M$98='Pathway B benchmarks'!B39:B56),0),1))</f>
        <v>#N/A</v>
      </c>
      <c r="AN98" s="347">
        <f t="shared" si="34"/>
        <v>0</v>
      </c>
      <c r="AO98" s="303"/>
      <c r="AP98" s="303"/>
      <c r="AQ98" s="344" t="str">
        <f t="shared" si="35"/>
        <v/>
      </c>
      <c r="AR98" s="339"/>
      <c r="AS98" s="363">
        <f>IF(AR98&gt;0,AR98*38.6*IF(OR(AO98&gt;$J$98,AP98&lt;$K$98), 0, IF(AO98&lt;$J$98,AP98-$J$98,IF($K$98&lt;AP98,AP98-$K$98,AQ98)))/AQ98,0)</f>
        <v>0</v>
      </c>
      <c r="AT98" s="345" t="e" cm="1">
        <f t="array" ref="AT98">IF('Pathway B benchmarks'!F39,INDEX('Pathway B benchmarks'!F39:F56,MATCH(1,($AS$6='Pathway B benchmarks'!A39:A56)*($M$98='Pathway B benchmarks'!B39:B56),0),1))</f>
        <v>#N/A</v>
      </c>
      <c r="AU98" s="347">
        <f t="shared" si="36"/>
        <v>0</v>
      </c>
      <c r="AV98" s="347" t="e">
        <f>IF($I98="","",IF($I98="Custom",0,INDEX('Pathway B benchmarks'!$17:$18,MATCH($I98,'Pathway B benchmarks'!$A$17:$A$18,0),MATCH($S98,'Pathway B benchmarks'!$17:$17,0))))</f>
        <v>#N/A</v>
      </c>
      <c r="AW98" s="347" t="e">
        <f>IF($I98="","",IF($I98="Custom",0,INDEX('Pathway B benchmarks'!$30:$34,2,MATCH($S98,'Pathway B benchmarks'!$30:$30,0))))</f>
        <v>#N/A</v>
      </c>
      <c r="AX98" s="345" t="e">
        <f>IF($AW$98=0,1,$Q$98/$AW$98)*$AV$98</f>
        <v>#N/A</v>
      </c>
      <c r="AY98" s="353" t="e">
        <f>$AX$98/1000*$Y98/0.0036</f>
        <v>#N/A</v>
      </c>
      <c r="AZ98" s="353" t="e">
        <f>$AY$98/70*100</f>
        <v>#N/A</v>
      </c>
      <c r="BA98" s="353" t="e">
        <f t="shared" si="37"/>
        <v>#N/A</v>
      </c>
      <c r="BB98" s="350">
        <f t="shared" si="38"/>
        <v>0</v>
      </c>
      <c r="BC98" s="350" t="e">
        <f t="shared" si="39"/>
        <v>#N/A</v>
      </c>
      <c r="BD98" s="351">
        <f>IF(OR(E98="Whole Building", E98="Hotel", E98="School", E98="Data Centre (Whole facility)", E98="Residential Aged Care", E98="Retirement Living", E98="RAC and retirement (co-located)"),VLOOKUP(BB98,'Points Table'!$B$13:$C$36,2,TRUE),IF(OR(E98="Base Building", E98="Shopping Centre", E98="Apartment", E98="Warehouse and Cold Store", E98="Data Centre (Infrastructure)"),VLOOKUP(BB98,'Points Table'!$E$13:$F$33,2,TRUE),0))</f>
        <v>0</v>
      </c>
      <c r="BE98" s="352" t="str">
        <f>IF(AND($E$98="Whole Building", $BD$98&gt;=10), "YES", IF(AND($E$98="Base Building", $BD$98&gt;=8), "YES", "NO"))</f>
        <v>NO</v>
      </c>
    </row>
    <row r="99" spans="2:57">
      <c r="B99" s="300"/>
      <c r="C99" s="300"/>
      <c r="D99" s="300"/>
      <c r="E99" s="300"/>
      <c r="F99" s="300"/>
      <c r="G99" s="300"/>
      <c r="H99" s="300"/>
      <c r="I99" s="343" t="s">
        <v>943</v>
      </c>
      <c r="J99" s="274"/>
      <c r="K99" s="274"/>
      <c r="L99" s="359">
        <f t="shared" si="27"/>
        <v>1</v>
      </c>
      <c r="M99" s="362">
        <f t="shared" si="28"/>
        <v>1900</v>
      </c>
      <c r="N99" s="300"/>
      <c r="O99" s="300"/>
      <c r="P99" s="300"/>
      <c r="Q99" s="300"/>
      <c r="R99" s="300"/>
      <c r="S99" s="300"/>
      <c r="T99" s="303"/>
      <c r="U99" s="303"/>
      <c r="V99" s="344" t="str">
        <f t="shared" si="29"/>
        <v/>
      </c>
      <c r="W99" s="339"/>
      <c r="X99" s="363">
        <f>IF(W99&gt;0,W99*0.0036*IF(OR(T99&gt;$J$99,U99&lt;$K$99), 0, IF(T99&lt;$J$99,U99-$J$99,IF($K$99&lt;U99,U99-$K$99,V99)))/V99,0)</f>
        <v>0</v>
      </c>
      <c r="Y99" s="346" t="e" cm="1">
        <f t="array" ref="Y99">IF('Pathway B benchmarks'!C61,INDEX('Pathway B benchmarks'!C61:C63,MATCH(1,($I$7='Pathway B benchmarks'!A61:A63)*($M$99='Pathway B benchmarks'!B61:B63),0),1))</f>
        <v>#N/A</v>
      </c>
      <c r="Z99" s="347" t="e">
        <f t="shared" si="30"/>
        <v>#N/A</v>
      </c>
      <c r="AA99" s="303"/>
      <c r="AB99" s="303"/>
      <c r="AC99" s="344" t="str">
        <f t="shared" si="31"/>
        <v/>
      </c>
      <c r="AD99" s="339"/>
      <c r="AE99" s="364">
        <f>IF(AD99&gt;0,AD99*0.001*IF(OR(AA99&gt;$J$99,AB99&lt;$K$99), 0, IF(AA99&lt;$J$99,AB99-$J$99,IF($K$99&lt;AB99,AB99-$K$99,AC99)))/AC99,0)</f>
        <v>0</v>
      </c>
      <c r="AF99" s="348" t="e" cm="1">
        <f t="array" ref="AF99">IF('Pathway B benchmarks'!F39,INDEX('Pathway B benchmarks'!F39:F56,MATCH(1,($AE$6='Pathway B benchmarks'!A39:A56)*($M$99='Pathway B benchmarks'!B39:B56),0),1))</f>
        <v>#N/A</v>
      </c>
      <c r="AG99" s="349">
        <f t="shared" si="32"/>
        <v>0</v>
      </c>
      <c r="AH99" s="303"/>
      <c r="AI99" s="303"/>
      <c r="AJ99" s="344" t="str">
        <f t="shared" si="33"/>
        <v/>
      </c>
      <c r="AK99" s="339"/>
      <c r="AL99" s="363">
        <f>IF(AK99&gt;0,AK99*26.2*IF(OR(AH99&gt;$J$99,AI99&lt;$K$99), 0, IF(AH99&lt;$J$99,AI99-$J$99,IF($K$99&lt;AI99,AI99-$K$99,AJ99)))/AJ99,0)</f>
        <v>0</v>
      </c>
      <c r="AM99" s="345" t="e" cm="1">
        <f t="array" ref="AM99">IF('Pathway B benchmarks'!F39,INDEX('Pathway B benchmarks'!F39:F56,MATCH(1,($AL$6='Pathway B benchmarks'!A39:A56)*($M$99='Pathway B benchmarks'!B39:B56),0),1))</f>
        <v>#N/A</v>
      </c>
      <c r="AN99" s="347">
        <f t="shared" si="34"/>
        <v>0</v>
      </c>
      <c r="AO99" s="303"/>
      <c r="AP99" s="303"/>
      <c r="AQ99" s="344" t="str">
        <f t="shared" si="35"/>
        <v/>
      </c>
      <c r="AR99" s="339"/>
      <c r="AS99" s="363">
        <f>IF(AR99&gt;0,AR99*38.6*IF(OR(AO99&gt;$J$99,AP99&lt;$K$99), 0, IF(AO99&lt;$J$99,AP99-$J$99,IF($K$99&lt;AP99,AP99-$K$99,AQ99)))/AQ99,0)</f>
        <v>0</v>
      </c>
      <c r="AT99" s="345" t="e" cm="1">
        <f t="array" ref="AT99">IF('Pathway B benchmarks'!F39,INDEX('Pathway B benchmarks'!F39:F56,MATCH(1,($AS$6='Pathway B benchmarks'!A39:A56)*($M$99='Pathway B benchmarks'!B39:B56),0),1))</f>
        <v>#N/A</v>
      </c>
      <c r="AU99" s="347">
        <f t="shared" si="36"/>
        <v>0</v>
      </c>
      <c r="AV99" s="347" t="e">
        <f>IF($I99="","",IF($I99="Custom",0,INDEX('Pathway B benchmarks'!$17:$18,MATCH($I99,'Pathway B benchmarks'!$A$17:$A$18,0),MATCH($S99,'Pathway B benchmarks'!$17:$17,0))))</f>
        <v>#N/A</v>
      </c>
      <c r="AW99" s="347" t="e">
        <f>IF($I99="","",IF($I99="Custom",0,INDEX('Pathway B benchmarks'!$30:$34,2,MATCH($S99,'Pathway B benchmarks'!$30:$30,0))))</f>
        <v>#N/A</v>
      </c>
      <c r="AX99" s="345" t="e">
        <f>IF($AW$99=0,1,$Q$99/$AW$99)*$AV$99</f>
        <v>#N/A</v>
      </c>
      <c r="AY99" s="353" t="e">
        <f>$AX$99/1000*$Y99/0.0036</f>
        <v>#N/A</v>
      </c>
      <c r="AZ99" s="353" t="e">
        <f>$AY$99/70*100</f>
        <v>#N/A</v>
      </c>
      <c r="BA99" s="353" t="e">
        <f t="shared" si="37"/>
        <v>#N/A</v>
      </c>
      <c r="BB99" s="350">
        <f t="shared" si="38"/>
        <v>0</v>
      </c>
      <c r="BC99" s="350" t="e">
        <f t="shared" si="39"/>
        <v>#N/A</v>
      </c>
      <c r="BD99" s="351">
        <f>IF(OR(E99="Whole Building", E99="Hotel", E99="School", E99="Data Centre (Whole facility)", E99="Residential Aged Care", E99="Retirement Living", E99="RAC and retirement (co-located)"),VLOOKUP(BB99,'Points Table'!$B$13:$C$36,2,TRUE),IF(OR(E99="Base Building", E99="Shopping Centre", E99="Apartment", E99="Warehouse and Cold Store", E99="Data Centre (Infrastructure)"),VLOOKUP(BB99,'Points Table'!$E$13:$F$33,2,TRUE),0))</f>
        <v>0</v>
      </c>
      <c r="BE99" s="352" t="str">
        <f>IF(AND($E$99="Whole Building", $BD$99&gt;=10), "YES", IF(AND($E$99="Base Building", $BD$99&gt;=8), "YES", "NO"))</f>
        <v>NO</v>
      </c>
    </row>
    <row r="100" spans="2:57">
      <c r="B100" s="300"/>
      <c r="C100" s="300"/>
      <c r="D100" s="300"/>
      <c r="E100" s="300"/>
      <c r="F100" s="300"/>
      <c r="G100" s="300"/>
      <c r="H100" s="300"/>
      <c r="I100" s="343" t="s">
        <v>943</v>
      </c>
      <c r="J100" s="274"/>
      <c r="K100" s="274"/>
      <c r="L100" s="359">
        <f t="shared" si="27"/>
        <v>1</v>
      </c>
      <c r="M100" s="362">
        <f t="shared" si="28"/>
        <v>1900</v>
      </c>
      <c r="N100" s="300"/>
      <c r="O100" s="300"/>
      <c r="P100" s="300"/>
      <c r="Q100" s="300"/>
      <c r="R100" s="300"/>
      <c r="S100" s="300"/>
      <c r="T100" s="303"/>
      <c r="U100" s="303"/>
      <c r="V100" s="344" t="str">
        <f t="shared" si="29"/>
        <v/>
      </c>
      <c r="W100" s="339"/>
      <c r="X100" s="363">
        <f>IF(W100&gt;0,W100*0.0036*IF(OR(T100&gt;$J$100,U100&lt;$K$100), 0, IF(T100&lt;$J$100,U100-$J$100,IF($K$100&lt;U100,U100-$K$100,V100)))/V100,0)</f>
        <v>0</v>
      </c>
      <c r="Y100" s="346" t="e" cm="1">
        <f t="array" ref="Y100">IF('Pathway B benchmarks'!C61,INDEX('Pathway B benchmarks'!C61:C63,MATCH(1,($I$7='Pathway B benchmarks'!A61:A63)*($M$100='Pathway B benchmarks'!B61:B63),0),1))</f>
        <v>#N/A</v>
      </c>
      <c r="Z100" s="347" t="e">
        <f t="shared" si="30"/>
        <v>#N/A</v>
      </c>
      <c r="AA100" s="303"/>
      <c r="AB100" s="303"/>
      <c r="AC100" s="344" t="str">
        <f t="shared" si="31"/>
        <v/>
      </c>
      <c r="AD100" s="339"/>
      <c r="AE100" s="364">
        <f>IF(AD100&gt;0,AD100*0.001*IF(OR(AA100&gt;$J$100,AB100&lt;$K$100), 0, IF(AA100&lt;$J$100,AB100-$J$100,IF($K$100&lt;AB100,AB100-$K$100,AC100)))/AC100,0)</f>
        <v>0</v>
      </c>
      <c r="AF100" s="348" t="e" cm="1">
        <f t="array" ref="AF100">IF('Pathway B benchmarks'!F39,INDEX('Pathway B benchmarks'!F39:F56,MATCH(1,($AE$6='Pathway B benchmarks'!A39:A56)*($M$100='Pathway B benchmarks'!B39:B56),0),1))</f>
        <v>#N/A</v>
      </c>
      <c r="AG100" s="349">
        <f t="shared" si="32"/>
        <v>0</v>
      </c>
      <c r="AH100" s="303"/>
      <c r="AI100" s="303"/>
      <c r="AJ100" s="344" t="str">
        <f t="shared" si="33"/>
        <v/>
      </c>
      <c r="AK100" s="339"/>
      <c r="AL100" s="363">
        <f>IF(AK100&gt;0,AK100*26.2*IF(OR(AH100&gt;$J$100,AI100&lt;$K$100), 0, IF(AH100&lt;$J$100,AI100-$J$100,IF($K$100&lt;AI100,AI100-$K$100,AJ100)))/AJ100,0)</f>
        <v>0</v>
      </c>
      <c r="AM100" s="345" t="e" cm="1">
        <f t="array" ref="AM100">IF('Pathway B benchmarks'!F39,INDEX('Pathway B benchmarks'!F39:F56,MATCH(1,($AL$6='Pathway B benchmarks'!A39:A56)*($M$100='Pathway B benchmarks'!B39:B56),0),1))</f>
        <v>#N/A</v>
      </c>
      <c r="AN100" s="347">
        <f t="shared" si="34"/>
        <v>0</v>
      </c>
      <c r="AO100" s="303"/>
      <c r="AP100" s="303"/>
      <c r="AQ100" s="344" t="str">
        <f t="shared" si="35"/>
        <v/>
      </c>
      <c r="AR100" s="339"/>
      <c r="AS100" s="363">
        <f>IF(AR100&gt;0,AR100*38.6*IF(OR(AO100&gt;$J$100,AP100&lt;$K$100), 0, IF(AO100&lt;$J$100,AP100-$J$100,IF($K$100&lt;AP100,AP100-$K$100,AQ100)))/AQ100,0)</f>
        <v>0</v>
      </c>
      <c r="AT100" s="345" t="e" cm="1">
        <f t="array" ref="AT100">IF('Pathway B benchmarks'!F39,INDEX('Pathway B benchmarks'!F39:F56,MATCH(1,($AS$6='Pathway B benchmarks'!A39:A56)*($M$100='Pathway B benchmarks'!B39:B56),0),1))</f>
        <v>#N/A</v>
      </c>
      <c r="AU100" s="347">
        <f t="shared" si="36"/>
        <v>0</v>
      </c>
      <c r="AV100" s="347" t="e">
        <f>IF($I100="","",IF($I100="Custom",0,INDEX('Pathway B benchmarks'!$17:$18,MATCH($I100,'Pathway B benchmarks'!$A$17:$A$18,0),MATCH($S100,'Pathway B benchmarks'!$17:$17,0))))</f>
        <v>#N/A</v>
      </c>
      <c r="AW100" s="347" t="e">
        <f>IF($I100="","",IF($I100="Custom",0,INDEX('Pathway B benchmarks'!$30:$34,2,MATCH($S100,'Pathway B benchmarks'!$30:$30,0))))</f>
        <v>#N/A</v>
      </c>
      <c r="AX100" s="345" t="e">
        <f>IF($AW$100=0,1,$Q$100/$AW$100)*$AV$100</f>
        <v>#N/A</v>
      </c>
      <c r="AY100" s="353" t="e">
        <f>$AX$100/1000*$Y100/0.0036</f>
        <v>#N/A</v>
      </c>
      <c r="AZ100" s="353" t="e">
        <f>$AY$100/70*100</f>
        <v>#N/A</v>
      </c>
      <c r="BA100" s="353" t="e">
        <f t="shared" si="37"/>
        <v>#N/A</v>
      </c>
      <c r="BB100" s="350">
        <f t="shared" si="38"/>
        <v>0</v>
      </c>
      <c r="BC100" s="350" t="e">
        <f t="shared" si="39"/>
        <v>#N/A</v>
      </c>
      <c r="BD100" s="351">
        <f>IF(OR(E100="Whole Building", E100="Hotel", E100="School", E100="Data Centre (Whole facility)", E100="Residential Aged Care", E100="Retirement Living", E100="RAC and retirement (co-located)"),VLOOKUP(BB100,'Points Table'!$B$13:$C$36,2,TRUE),IF(OR(E100="Base Building", E100="Shopping Centre", E100="Apartment", E100="Warehouse and Cold Store", E100="Data Centre (Infrastructure)"),VLOOKUP(BB100,'Points Table'!$E$13:$F$33,2,TRUE),0))</f>
        <v>0</v>
      </c>
      <c r="BE100" s="352" t="str">
        <f>IF(AND($E$100="Whole Building", $BD$100&gt;=10), "YES", IF(AND($E$100="Base Building", $BD$100&gt;=8), "YES", "NO"))</f>
        <v>NO</v>
      </c>
    </row>
    <row r="101" spans="2:57">
      <c r="B101" s="300"/>
      <c r="C101" s="300"/>
      <c r="D101" s="300"/>
      <c r="E101" s="300"/>
      <c r="F101" s="300"/>
      <c r="G101" s="300"/>
      <c r="H101" s="300"/>
      <c r="I101" s="343" t="s">
        <v>943</v>
      </c>
      <c r="J101" s="274"/>
      <c r="K101" s="274"/>
      <c r="L101" s="359">
        <f t="shared" si="27"/>
        <v>1</v>
      </c>
      <c r="M101" s="362">
        <f t="shared" si="28"/>
        <v>1900</v>
      </c>
      <c r="N101" s="300"/>
      <c r="O101" s="300"/>
      <c r="P101" s="300"/>
      <c r="Q101" s="300"/>
      <c r="R101" s="300"/>
      <c r="S101" s="300"/>
      <c r="T101" s="303"/>
      <c r="U101" s="303"/>
      <c r="V101" s="344" t="str">
        <f t="shared" si="29"/>
        <v/>
      </c>
      <c r="W101" s="339"/>
      <c r="X101" s="363">
        <f>IF(W101&gt;0,W101*0.0036*IF(OR(T101&gt;$J$101,U101&lt;$K$101), 0, IF(T101&lt;$J$101,U101-$J$101,IF($K$101&lt;U101,U101-$K$101,V101)))/V101,0)</f>
        <v>0</v>
      </c>
      <c r="Y101" s="346" t="e" cm="1">
        <f t="array" ref="Y101">IF('Pathway B benchmarks'!C61,INDEX('Pathway B benchmarks'!C61:C63,MATCH(1,($I$7='Pathway B benchmarks'!A61:A63)*($M$101='Pathway B benchmarks'!B61:B63),0),1))</f>
        <v>#N/A</v>
      </c>
      <c r="Z101" s="347" t="e">
        <f t="shared" si="30"/>
        <v>#N/A</v>
      </c>
      <c r="AA101" s="303"/>
      <c r="AB101" s="303"/>
      <c r="AC101" s="344" t="str">
        <f t="shared" si="31"/>
        <v/>
      </c>
      <c r="AD101" s="339"/>
      <c r="AE101" s="364">
        <f>IF(AD101&gt;0,AD101*0.001*IF(OR(AA101&gt;$J$101,AB101&lt;$K$101), 0, IF(AA101&lt;$J$101,AB101-$J$101,IF($K$101&lt;AB101,AB101-$K$101,AC101)))/AC101,0)</f>
        <v>0</v>
      </c>
      <c r="AF101" s="348" t="e" cm="1">
        <f t="array" ref="AF101">IF('Pathway B benchmarks'!F39,INDEX('Pathway B benchmarks'!F39:F56,MATCH(1,($AE$6='Pathway B benchmarks'!A39:A56)*($M$101='Pathway B benchmarks'!B39:B56),0),1))</f>
        <v>#N/A</v>
      </c>
      <c r="AG101" s="349">
        <f t="shared" si="32"/>
        <v>0</v>
      </c>
      <c r="AH101" s="303"/>
      <c r="AI101" s="303"/>
      <c r="AJ101" s="344" t="str">
        <f t="shared" si="33"/>
        <v/>
      </c>
      <c r="AK101" s="339"/>
      <c r="AL101" s="363">
        <f>IF(AK101&gt;0,AK101*26.2*IF(OR(AH101&gt;$J$101,AI101&lt;$K$101), 0, IF(AH101&lt;$J$101,AI101-$J$101,IF($K$101&lt;AI101,AI101-$K$101,AJ101)))/AJ101,0)</f>
        <v>0</v>
      </c>
      <c r="AM101" s="345" t="e" cm="1">
        <f t="array" ref="AM101">IF('Pathway B benchmarks'!F39,INDEX('Pathway B benchmarks'!F39:F56,MATCH(1,($AL$6='Pathway B benchmarks'!A39:A56)*($M$101='Pathway B benchmarks'!B39:B56),0),1))</f>
        <v>#N/A</v>
      </c>
      <c r="AN101" s="347">
        <f t="shared" si="34"/>
        <v>0</v>
      </c>
      <c r="AO101" s="303"/>
      <c r="AP101" s="303"/>
      <c r="AQ101" s="344" t="str">
        <f t="shared" si="35"/>
        <v/>
      </c>
      <c r="AR101" s="339"/>
      <c r="AS101" s="363">
        <f>IF(AR101&gt;0,AR101*38.6*IF(OR(AO101&gt;$J$101,AP101&lt;$K$101), 0, IF(AO101&lt;$J$101,AP101-$J$101,IF($K$101&lt;AP101,AP101-$K$101,AQ101)))/AQ101,0)</f>
        <v>0</v>
      </c>
      <c r="AT101" s="345" t="e" cm="1">
        <f t="array" ref="AT101">IF('Pathway B benchmarks'!F39,INDEX('Pathway B benchmarks'!F39:F56,MATCH(1,($AS$6='Pathway B benchmarks'!A39:A56)*($M$101='Pathway B benchmarks'!B39:B56),0),1))</f>
        <v>#N/A</v>
      </c>
      <c r="AU101" s="347">
        <f t="shared" si="36"/>
        <v>0</v>
      </c>
      <c r="AV101" s="347" t="e">
        <f>IF($I101="","",IF($I101="Custom",0,INDEX('Pathway B benchmarks'!$17:$18,MATCH($I101,'Pathway B benchmarks'!$A$17:$A$18,0),MATCH($S101,'Pathway B benchmarks'!$17:$17,0))))</f>
        <v>#N/A</v>
      </c>
      <c r="AW101" s="347" t="e">
        <f>IF($I101="","",IF($I101="Custom",0,INDEX('Pathway B benchmarks'!$30:$34,2,MATCH($S101,'Pathway B benchmarks'!$30:$30,0))))</f>
        <v>#N/A</v>
      </c>
      <c r="AX101" s="345" t="e">
        <f>IF($AW$101=0,1,$Q$101/$AW$101)*$AV$101</f>
        <v>#N/A</v>
      </c>
      <c r="AY101" s="353" t="e">
        <f>$AX$101/1000*$Y101/0.0036</f>
        <v>#N/A</v>
      </c>
      <c r="AZ101" s="353" t="e">
        <f>$AY$101/70*100</f>
        <v>#N/A</v>
      </c>
      <c r="BA101" s="353" t="e">
        <f t="shared" si="37"/>
        <v>#N/A</v>
      </c>
      <c r="BB101" s="350">
        <f t="shared" si="38"/>
        <v>0</v>
      </c>
      <c r="BC101" s="350" t="e">
        <f t="shared" si="39"/>
        <v>#N/A</v>
      </c>
      <c r="BD101" s="351">
        <f>IF(OR(E101="Whole Building", E101="Hotel", E101="School", E101="Data Centre (Whole facility)", E101="Residential Aged Care", E101="Retirement Living", E101="RAC and retirement (co-located)"),VLOOKUP(BB101,'Points Table'!$B$13:$C$36,2,TRUE),IF(OR(E101="Base Building", E101="Shopping Centre", E101="Apartment", E101="Warehouse and Cold Store", E101="Data Centre (Infrastructure)"),VLOOKUP(BB101,'Points Table'!$E$13:$F$33,2,TRUE),0))</f>
        <v>0</v>
      </c>
      <c r="BE101" s="352" t="str">
        <f>IF(AND($E$101="Whole Building", $BD$101&gt;=10), "YES", IF(AND($E$101="Base Building", $BD$101&gt;=8), "YES", "NO"))</f>
        <v>NO</v>
      </c>
    </row>
    <row r="102" spans="2:57">
      <c r="B102" s="300"/>
      <c r="C102" s="300"/>
      <c r="D102" s="300"/>
      <c r="E102" s="300"/>
      <c r="F102" s="300"/>
      <c r="G102" s="300"/>
      <c r="H102" s="300"/>
      <c r="I102" s="343" t="s">
        <v>943</v>
      </c>
      <c r="J102" s="274"/>
      <c r="K102" s="274"/>
      <c r="L102" s="359">
        <f t="shared" si="27"/>
        <v>1</v>
      </c>
      <c r="M102" s="362">
        <f t="shared" si="28"/>
        <v>1900</v>
      </c>
      <c r="N102" s="300"/>
      <c r="O102" s="300"/>
      <c r="P102" s="300"/>
      <c r="Q102" s="300"/>
      <c r="R102" s="300"/>
      <c r="S102" s="300"/>
      <c r="T102" s="303"/>
      <c r="U102" s="303"/>
      <c r="V102" s="344" t="str">
        <f t="shared" si="29"/>
        <v/>
      </c>
      <c r="W102" s="339"/>
      <c r="X102" s="363">
        <f>IF(W102&gt;0,W102*0.0036*IF(OR(T102&gt;$J$102,U102&lt;$K$102), 0, IF(T102&lt;$J$102,U102-$J$102,IF($K$102&lt;U102,U102-$K$102,V102)))/V102,0)</f>
        <v>0</v>
      </c>
      <c r="Y102" s="346" t="e" cm="1">
        <f t="array" ref="Y102">IF('Pathway B benchmarks'!C61,INDEX('Pathway B benchmarks'!C61:C63,MATCH(1,($I$7='Pathway B benchmarks'!A61:A63)*($M$102='Pathway B benchmarks'!B61:B63),0),1))</f>
        <v>#N/A</v>
      </c>
      <c r="Z102" s="347" t="e">
        <f t="shared" si="30"/>
        <v>#N/A</v>
      </c>
      <c r="AA102" s="303"/>
      <c r="AB102" s="303"/>
      <c r="AC102" s="344" t="str">
        <f t="shared" si="31"/>
        <v/>
      </c>
      <c r="AD102" s="339"/>
      <c r="AE102" s="364">
        <f>IF(AD102&gt;0,AD102*0.001*IF(OR(AA102&gt;$J$102,AB102&lt;$K$102), 0, IF(AA102&lt;$J$102,AB102-$J$102,IF($K$102&lt;AB102,AB102-$K$102,AC102)))/AC102,0)</f>
        <v>0</v>
      </c>
      <c r="AF102" s="348" t="e" cm="1">
        <f t="array" ref="AF102">IF('Pathway B benchmarks'!F39,INDEX('Pathway B benchmarks'!F39:F56,MATCH(1,($AE$6='Pathway B benchmarks'!A39:A56)*($M$102='Pathway B benchmarks'!B39:B56),0),1))</f>
        <v>#N/A</v>
      </c>
      <c r="AG102" s="349">
        <f t="shared" si="32"/>
        <v>0</v>
      </c>
      <c r="AH102" s="303"/>
      <c r="AI102" s="303"/>
      <c r="AJ102" s="344" t="str">
        <f t="shared" si="33"/>
        <v/>
      </c>
      <c r="AK102" s="339"/>
      <c r="AL102" s="363">
        <f>IF(AK102&gt;0,AK102*26.2*IF(OR(AH102&gt;$J$102,AI102&lt;$K$102), 0, IF(AH102&lt;$J$102,AI102-$J$102,IF($K$102&lt;AI102,AI102-$K$102,AJ102)))/AJ102,0)</f>
        <v>0</v>
      </c>
      <c r="AM102" s="345" t="e" cm="1">
        <f t="array" ref="AM102">IF('Pathway B benchmarks'!F39,INDEX('Pathway B benchmarks'!F39:F56,MATCH(1,($AL$6='Pathway B benchmarks'!A39:A56)*($M$102='Pathway B benchmarks'!B39:B56),0),1))</f>
        <v>#N/A</v>
      </c>
      <c r="AN102" s="347">
        <f t="shared" si="34"/>
        <v>0</v>
      </c>
      <c r="AO102" s="303"/>
      <c r="AP102" s="303"/>
      <c r="AQ102" s="344" t="str">
        <f t="shared" si="35"/>
        <v/>
      </c>
      <c r="AR102" s="339"/>
      <c r="AS102" s="363">
        <f>IF(AR102&gt;0,AR102*38.6*IF(OR(AO102&gt;$J$102,AP102&lt;$K$102), 0, IF(AO102&lt;$J$102,AP102-$J$102,IF($K$102&lt;AP102,AP102-$K$102,AQ102)))/AQ102,0)</f>
        <v>0</v>
      </c>
      <c r="AT102" s="345" t="e" cm="1">
        <f t="array" ref="AT102">IF('Pathway B benchmarks'!F39,INDEX('Pathway B benchmarks'!F39:F56,MATCH(1,($AS$6='Pathway B benchmarks'!A39:A56)*($M$102='Pathway B benchmarks'!B39:B56),0),1))</f>
        <v>#N/A</v>
      </c>
      <c r="AU102" s="347">
        <f t="shared" si="36"/>
        <v>0</v>
      </c>
      <c r="AV102" s="347" t="e">
        <f>IF($I102="","",IF($I102="Custom",0,INDEX('Pathway B benchmarks'!$17:$18,MATCH($I102,'Pathway B benchmarks'!$A$17:$A$18,0),MATCH($S102,'Pathway B benchmarks'!$17:$17,0))))</f>
        <v>#N/A</v>
      </c>
      <c r="AW102" s="347" t="e">
        <f>IF($I102="","",IF($I102="Custom",0,INDEX('Pathway B benchmarks'!$30:$34,2,MATCH($S102,'Pathway B benchmarks'!$30:$30,0))))</f>
        <v>#N/A</v>
      </c>
      <c r="AX102" s="345" t="e">
        <f>IF($AW$102=0,1,$Q$102/$AW$102)*$AV$102</f>
        <v>#N/A</v>
      </c>
      <c r="AY102" s="353" t="e">
        <f>$AX$102/1000*$Y102/0.0036</f>
        <v>#N/A</v>
      </c>
      <c r="AZ102" s="353" t="e">
        <f>$AY$102/70*100</f>
        <v>#N/A</v>
      </c>
      <c r="BA102" s="353" t="e">
        <f t="shared" si="37"/>
        <v>#N/A</v>
      </c>
      <c r="BB102" s="350">
        <f t="shared" si="38"/>
        <v>0</v>
      </c>
      <c r="BC102" s="350" t="e">
        <f t="shared" si="39"/>
        <v>#N/A</v>
      </c>
      <c r="BD102" s="351">
        <f>IF(OR(E102="Whole Building", E102="Hotel", E102="School", E102="Data Centre (Whole facility)", E102="Residential Aged Care", E102="Retirement Living", E102="RAC and retirement (co-located)"),VLOOKUP(BB102,'Points Table'!$B$13:$C$36,2,TRUE),IF(OR(E102="Base Building", E102="Shopping Centre", E102="Apartment", E102="Warehouse and Cold Store", E102="Data Centre (Infrastructure)"),VLOOKUP(BB102,'Points Table'!$E$13:$F$33,2,TRUE),0))</f>
        <v>0</v>
      </c>
      <c r="BE102" s="352" t="str">
        <f>IF(AND($E$102="Whole Building", $BD$102&gt;=10), "YES", IF(AND($E$102="Base Building", $BD$102&gt;=8), "YES", "NO"))</f>
        <v>NO</v>
      </c>
    </row>
    <row r="103" spans="2:57">
      <c r="B103" s="300"/>
      <c r="C103" s="300"/>
      <c r="D103" s="300"/>
      <c r="E103" s="300"/>
      <c r="F103" s="300"/>
      <c r="G103" s="300"/>
      <c r="H103" s="300"/>
      <c r="I103" s="343" t="s">
        <v>943</v>
      </c>
      <c r="J103" s="274"/>
      <c r="K103" s="274"/>
      <c r="L103" s="359">
        <f t="shared" ref="L103:L107" si="40">K103-J103+1</f>
        <v>1</v>
      </c>
      <c r="M103" s="362">
        <f t="shared" si="28"/>
        <v>1900</v>
      </c>
      <c r="N103" s="300"/>
      <c r="O103" s="300"/>
      <c r="P103" s="300"/>
      <c r="Q103" s="300"/>
      <c r="R103" s="300"/>
      <c r="S103" s="300"/>
      <c r="T103" s="303"/>
      <c r="U103" s="303"/>
      <c r="V103" s="344" t="str">
        <f t="shared" ref="V103:V107" si="41">IF(ISBLANK(U103),"",U103-T103+1)</f>
        <v/>
      </c>
      <c r="W103" s="339"/>
      <c r="X103" s="363">
        <f>IF(W103&gt;0,W103*0.0036*IF(OR(T103&gt;$J$103,U103&lt;$K$103), 0, IF(T103&lt;$J$103,U103-$J$103,IF($K$103&lt;U103,U103-$K$103,V103)))/V103,0)</f>
        <v>0</v>
      </c>
      <c r="Y103" s="346" t="e" cm="1">
        <f t="array" ref="Y103">IF('Pathway B benchmarks'!C61,INDEX('Pathway B benchmarks'!C61:C63,MATCH(1,($I$7='Pathway B benchmarks'!A61:A63)*($M$103='Pathway B benchmarks'!B61:B63),0),1))</f>
        <v>#N/A</v>
      </c>
      <c r="Z103" s="347" t="e">
        <f t="shared" si="30"/>
        <v>#N/A</v>
      </c>
      <c r="AA103" s="303"/>
      <c r="AB103" s="303"/>
      <c r="AC103" s="344" t="str">
        <f t="shared" si="31"/>
        <v/>
      </c>
      <c r="AD103" s="339"/>
      <c r="AE103" s="364">
        <f>IF(AD103&gt;0,AD103*0.001*IF(OR(AA103&gt;$J$103,AB103&lt;$K$103), 0, IF(AA103&lt;$J$103,AB103-$J$103,IF($K$103&lt;AB103,AB103-$K$103,AC103)))/AC103,0)</f>
        <v>0</v>
      </c>
      <c r="AF103" s="348" t="e" cm="1">
        <f t="array" ref="AF103">IF('Pathway B benchmarks'!F39,INDEX('Pathway B benchmarks'!F39:F56,MATCH(1,($AE$6='Pathway B benchmarks'!A39:A56)*($M$103='Pathway B benchmarks'!B39:B56),0),1))</f>
        <v>#N/A</v>
      </c>
      <c r="AG103" s="349">
        <f t="shared" si="32"/>
        <v>0</v>
      </c>
      <c r="AH103" s="303"/>
      <c r="AI103" s="303"/>
      <c r="AJ103" s="344" t="str">
        <f t="shared" si="33"/>
        <v/>
      </c>
      <c r="AK103" s="339"/>
      <c r="AL103" s="363">
        <f>IF(AK103&gt;0,AK103*26.2*IF(OR(AH103&gt;$J$103,AI103&lt;$K$103), 0, IF(AH103&lt;$J$103,AI103-$J$103,IF($K$103&lt;AI103,AI103-$K$103,AJ103)))/AJ103,0)</f>
        <v>0</v>
      </c>
      <c r="AM103" s="345" t="e" cm="1">
        <f t="array" ref="AM103">IF('Pathway B benchmarks'!F39,INDEX('Pathway B benchmarks'!F39:F56,MATCH(1,($AL$6='Pathway B benchmarks'!A39:A56)*($M$103='Pathway B benchmarks'!B39:B56),0),1))</f>
        <v>#N/A</v>
      </c>
      <c r="AN103" s="347">
        <f t="shared" si="34"/>
        <v>0</v>
      </c>
      <c r="AO103" s="303"/>
      <c r="AP103" s="303"/>
      <c r="AQ103" s="344" t="str">
        <f t="shared" ref="AQ103:AQ107" si="42">IF(ISBLANK(AP103),"",AP103-AO103+1)</f>
        <v/>
      </c>
      <c r="AR103" s="339"/>
      <c r="AS103" s="363">
        <f>IF(AR103&gt;0,AR103*38.6*IF(OR(AO103&gt;$J$103,AP103&lt;$K$103), 0, IF(AO103&lt;$J$103,AP103-$J$103,IF($K$103&lt;AP103,AP103-$K$103,AQ103)))/AQ103,0)</f>
        <v>0</v>
      </c>
      <c r="AT103" s="345" t="e" cm="1">
        <f t="array" ref="AT103">IF('Pathway B benchmarks'!F39,INDEX('Pathway B benchmarks'!F39:F56,MATCH(1,($AS$6='Pathway B benchmarks'!A39:A56)*($M$103='Pathway B benchmarks'!B39:B56),0),1))</f>
        <v>#N/A</v>
      </c>
      <c r="AU103" s="347">
        <f t="shared" si="36"/>
        <v>0</v>
      </c>
      <c r="AV103" s="347" t="e">
        <f>IF($I103="","",IF($I103="Custom",0,INDEX('Pathway B benchmarks'!$17:$18,MATCH($I103,'Pathway B benchmarks'!$A$17:$A$18,0),MATCH($S103,'Pathway B benchmarks'!$17:$17,0))))</f>
        <v>#N/A</v>
      </c>
      <c r="AW103" s="347" t="e">
        <f>IF($I103="","",IF($I103="Custom",0,INDEX('Pathway B benchmarks'!$30:$34,2,MATCH($S103,'Pathway B benchmarks'!$30:$30,0))))</f>
        <v>#N/A</v>
      </c>
      <c r="AX103" s="345" t="e">
        <f>IF($AW$103=0,1,$Q$103/$AW$103)*$AV$103</f>
        <v>#N/A</v>
      </c>
      <c r="AY103" s="353" t="e">
        <f>$AX$103/1000*$Y103/0.0036</f>
        <v>#N/A</v>
      </c>
      <c r="AZ103" s="353" t="e">
        <f>$AY$103/70*100</f>
        <v>#N/A</v>
      </c>
      <c r="BA103" s="353" t="e">
        <f t="shared" si="37"/>
        <v>#N/A</v>
      </c>
      <c r="BB103" s="350">
        <f t="shared" ref="BB103:BB107" si="43">MAX(0,IFERROR(1-(BA103/(AY103/70)/100),0))</f>
        <v>0</v>
      </c>
      <c r="BC103" s="350" t="e">
        <f t="shared" si="39"/>
        <v>#N/A</v>
      </c>
      <c r="BD103" s="351">
        <f>IF(OR(E103="Whole Building", E103="Hotel", E103="School", E103="Data Centre (Whole facility)", E103="Residential Aged Care", E103="Retirement Living", E103="RAC and retirement (co-located)"),VLOOKUP(BB103,'Points Table'!$B$13:$C$36,2,TRUE),IF(OR(E103="Base Building", E103="Shopping Centre", E103="Apartment", E103="Warehouse and Cold Store", E103="Data Centre (Infrastructure)"),VLOOKUP(BB103,'Points Table'!$E$13:$F$33,2,TRUE),0))</f>
        <v>0</v>
      </c>
      <c r="BE103" s="352" t="str">
        <f>IF(AND($E$103="Whole Building", $BD$103&gt;=10), "YES", IF(AND($E$103="Base Building", $BD$103&gt;=8), "YES", "NO"))</f>
        <v>NO</v>
      </c>
    </row>
    <row r="104" spans="2:57">
      <c r="B104" s="300"/>
      <c r="C104" s="300"/>
      <c r="D104" s="300"/>
      <c r="E104" s="300"/>
      <c r="F104" s="300"/>
      <c r="G104" s="300"/>
      <c r="H104" s="300"/>
      <c r="I104" s="343" t="s">
        <v>943</v>
      </c>
      <c r="J104" s="274"/>
      <c r="K104" s="274"/>
      <c r="L104" s="359">
        <f t="shared" si="40"/>
        <v>1</v>
      </c>
      <c r="M104" s="362">
        <f t="shared" si="28"/>
        <v>1900</v>
      </c>
      <c r="N104" s="300"/>
      <c r="O104" s="300"/>
      <c r="P104" s="300"/>
      <c r="Q104" s="300"/>
      <c r="R104" s="300"/>
      <c r="S104" s="300"/>
      <c r="T104" s="303"/>
      <c r="U104" s="303"/>
      <c r="V104" s="344" t="str">
        <f t="shared" si="41"/>
        <v/>
      </c>
      <c r="W104" s="339"/>
      <c r="X104" s="363">
        <f>IF(W104&gt;0,W104*0.0036*IF(OR(T104&gt;$J$104,U104&lt;$K$104), 0, IF(T104&lt;$J$104,U104-$J$104,IF($K$104&lt;U104,U104-$K$104,V104)))/V104,0)</f>
        <v>0</v>
      </c>
      <c r="Y104" s="346" t="e" cm="1">
        <f t="array" ref="Y104">IF('Pathway B benchmarks'!C61,INDEX('Pathway B benchmarks'!C61:C63,MATCH(1,($I$7='Pathway B benchmarks'!A61:A63)*($M$104='Pathway B benchmarks'!B61:B63),0),1))</f>
        <v>#N/A</v>
      </c>
      <c r="Z104" s="347" t="e">
        <f t="shared" si="30"/>
        <v>#N/A</v>
      </c>
      <c r="AA104" s="303"/>
      <c r="AB104" s="303"/>
      <c r="AC104" s="344" t="str">
        <f t="shared" si="31"/>
        <v/>
      </c>
      <c r="AD104" s="339"/>
      <c r="AE104" s="364">
        <f>IF(AD104&gt;0,AD104*0.001*IF(OR(AA104&gt;$J$104,AB104&lt;$K$104), 0, IF(AA104&lt;$J$104,AB104-$J$104,IF($K$104&lt;AB104,AB104-$K$104,AC104)))/AC104,0)</f>
        <v>0</v>
      </c>
      <c r="AF104" s="348" t="e" cm="1">
        <f t="array" ref="AF104">IF('Pathway B benchmarks'!F39,INDEX('Pathway B benchmarks'!F39:F56,MATCH(1,($AE$6='Pathway B benchmarks'!A39:A56)*($M$104='Pathway B benchmarks'!B39:B56),0),1))</f>
        <v>#N/A</v>
      </c>
      <c r="AG104" s="349">
        <f t="shared" si="32"/>
        <v>0</v>
      </c>
      <c r="AH104" s="303"/>
      <c r="AI104" s="303"/>
      <c r="AJ104" s="344" t="str">
        <f t="shared" si="33"/>
        <v/>
      </c>
      <c r="AK104" s="339"/>
      <c r="AL104" s="363">
        <f>IF(AK104&gt;0,AK104*26.2*IF(OR(AH104&gt;$J$104,AI104&lt;$K$104), 0, IF(AH104&lt;$J$104,AI104-$J$104,IF($K$104&lt;AI104,AI104-$K$104,AJ104)))/AJ104,0)</f>
        <v>0</v>
      </c>
      <c r="AM104" s="345" t="e" cm="1">
        <f t="array" ref="AM104">IF('Pathway B benchmarks'!F39,INDEX('Pathway B benchmarks'!F39:F56,MATCH(1,($AL$6='Pathway B benchmarks'!A39:A56)*($M$104='Pathway B benchmarks'!B39:B56),0),1))</f>
        <v>#N/A</v>
      </c>
      <c r="AN104" s="347">
        <f t="shared" si="34"/>
        <v>0</v>
      </c>
      <c r="AO104" s="303"/>
      <c r="AP104" s="303"/>
      <c r="AQ104" s="344" t="str">
        <f t="shared" si="42"/>
        <v/>
      </c>
      <c r="AR104" s="339"/>
      <c r="AS104" s="363">
        <f>IF(AR104&gt;0,AR104*38.6*IF(OR(AO104&gt;$J$104,AP104&lt;$K$104), 0, IF(AO104&lt;$J$104,AP104-$J$104,IF($K$104&lt;AP104,AP104-$K$104,AQ104)))/AQ104,0)</f>
        <v>0</v>
      </c>
      <c r="AT104" s="345" t="e" cm="1">
        <f t="array" ref="AT104">IF('Pathway B benchmarks'!F39,INDEX('Pathway B benchmarks'!F39:F56,MATCH(1,($AS$6='Pathway B benchmarks'!A39:A56)*($M$104='Pathway B benchmarks'!B39:B56),0),1))</f>
        <v>#N/A</v>
      </c>
      <c r="AU104" s="347">
        <f t="shared" si="36"/>
        <v>0</v>
      </c>
      <c r="AV104" s="347" t="e">
        <f>IF($I104="","",IF($I104="Custom",0,INDEX('Pathway B benchmarks'!$17:$18,MATCH($I104,'Pathway B benchmarks'!$A$17:$A$18,0),MATCH($S104,'Pathway B benchmarks'!$17:$17,0))))</f>
        <v>#N/A</v>
      </c>
      <c r="AW104" s="347" t="e">
        <f>IF($I104="","",IF($I104="Custom",0,INDEX('Pathway B benchmarks'!$30:$34,2,MATCH($S104,'Pathway B benchmarks'!$30:$30,0))))</f>
        <v>#N/A</v>
      </c>
      <c r="AX104" s="345" t="e">
        <f>IF($AW$104=0,1,$Q$104/$AW$104)*$AV$104</f>
        <v>#N/A</v>
      </c>
      <c r="AY104" s="353" t="e">
        <f>$AX$104/1000*$Y104/0.0036</f>
        <v>#N/A</v>
      </c>
      <c r="AZ104" s="353" t="e">
        <f>$AY$104/70*100</f>
        <v>#N/A</v>
      </c>
      <c r="BA104" s="353" t="e">
        <f t="shared" si="37"/>
        <v>#N/A</v>
      </c>
      <c r="BB104" s="350">
        <f t="shared" si="43"/>
        <v>0</v>
      </c>
      <c r="BC104" s="350" t="e">
        <f t="shared" si="39"/>
        <v>#N/A</v>
      </c>
      <c r="BD104" s="351">
        <f>IF(OR(E104="Whole Building", E104="Hotel", E104="School", E104="Data Centre (Whole facility)", E104="Residential Aged Care", E104="Retirement Living", E104="RAC and retirement (co-located)"),VLOOKUP(BB104,'Points Table'!$B$13:$C$36,2,TRUE),IF(OR(E104="Base Building", E104="Shopping Centre", E104="Apartment", E104="Warehouse and Cold Store", E104="Data Centre (Infrastructure)"),VLOOKUP(BB104,'Points Table'!$E$13:$F$33,2,TRUE),0))</f>
        <v>0</v>
      </c>
      <c r="BE104" s="352" t="str">
        <f>IF(AND($E$104="Whole Building", $BD$104&gt;=10), "YES", IF(AND($E$104="Base Building", $BD$104&gt;=8), "YES", "NO"))</f>
        <v>NO</v>
      </c>
    </row>
    <row r="105" spans="2:57">
      <c r="B105" s="300"/>
      <c r="C105" s="300"/>
      <c r="D105" s="300"/>
      <c r="E105" s="300"/>
      <c r="F105" s="300"/>
      <c r="G105" s="300"/>
      <c r="H105" s="300"/>
      <c r="I105" s="343" t="s">
        <v>943</v>
      </c>
      <c r="J105" s="274"/>
      <c r="K105" s="274"/>
      <c r="L105" s="359">
        <f t="shared" si="40"/>
        <v>1</v>
      </c>
      <c r="M105" s="362">
        <f t="shared" si="28"/>
        <v>1900</v>
      </c>
      <c r="N105" s="300"/>
      <c r="O105" s="300"/>
      <c r="P105" s="300"/>
      <c r="Q105" s="300"/>
      <c r="R105" s="300"/>
      <c r="S105" s="300"/>
      <c r="T105" s="303"/>
      <c r="U105" s="303"/>
      <c r="V105" s="344" t="str">
        <f t="shared" si="41"/>
        <v/>
      </c>
      <c r="W105" s="339"/>
      <c r="X105" s="363">
        <f>IF(W105&gt;0,W105*0.0036*IF(OR(T105&gt;$J$105,U105&lt;$K$105), 0, IF(T105&lt;$J$105,U105-$J$105,IF($K$105&lt;U105,U105-$K$105,V105)))/V105,0)</f>
        <v>0</v>
      </c>
      <c r="Y105" s="346" t="e" cm="1">
        <f t="array" ref="Y105">IF('Pathway B benchmarks'!C61,INDEX('Pathway B benchmarks'!C61:C63,MATCH(1,($I$7='Pathway B benchmarks'!A61:A63)*($M$105='Pathway B benchmarks'!B61:B63),0),1))</f>
        <v>#N/A</v>
      </c>
      <c r="Z105" s="347" t="e">
        <f t="shared" si="30"/>
        <v>#N/A</v>
      </c>
      <c r="AA105" s="303"/>
      <c r="AB105" s="303"/>
      <c r="AC105" s="344" t="str">
        <f t="shared" si="31"/>
        <v/>
      </c>
      <c r="AD105" s="339"/>
      <c r="AE105" s="364">
        <f>IF(AD105&gt;0,AD105*0.001*IF(OR(AA105&gt;$J$105,AB105&lt;$K$105), 0, IF(AA105&lt;$J$105,AB105-$J$105,IF($K$105&lt;AB105,AB105-$K$105,AC105)))/AC105,0)</f>
        <v>0</v>
      </c>
      <c r="AF105" s="348" t="e" cm="1">
        <f t="array" ref="AF105">IF('Pathway B benchmarks'!F39,INDEX('Pathway B benchmarks'!F39:F56,MATCH(1,($AE$6='Pathway B benchmarks'!A39:A56)*($M$105='Pathway B benchmarks'!B39:B56),0),1))</f>
        <v>#N/A</v>
      </c>
      <c r="AG105" s="349">
        <f t="shared" si="32"/>
        <v>0</v>
      </c>
      <c r="AH105" s="303"/>
      <c r="AI105" s="303"/>
      <c r="AJ105" s="344" t="str">
        <f t="shared" si="33"/>
        <v/>
      </c>
      <c r="AK105" s="339"/>
      <c r="AL105" s="363">
        <f>IF(AK105&gt;0,AK105*26.2*IF(OR(AH105&gt;$J$105,AI105&lt;$K$105), 0, IF(AH105&lt;$J$105,AI105-$J$105,IF($K$105&lt;AI105,AI105-$K$105,AJ105)))/AJ105,0)</f>
        <v>0</v>
      </c>
      <c r="AM105" s="345" t="e" cm="1">
        <f t="array" ref="AM105">IF('Pathway B benchmarks'!F39,INDEX('Pathway B benchmarks'!F39:F56,MATCH(1,($AL$6='Pathway B benchmarks'!A39:A56)*($M$105='Pathway B benchmarks'!B39:B56),0),1))</f>
        <v>#N/A</v>
      </c>
      <c r="AN105" s="347">
        <f t="shared" si="34"/>
        <v>0</v>
      </c>
      <c r="AO105" s="303"/>
      <c r="AP105" s="303"/>
      <c r="AQ105" s="344" t="str">
        <f t="shared" si="42"/>
        <v/>
      </c>
      <c r="AR105" s="339"/>
      <c r="AS105" s="363">
        <f>IF(AR105&gt;0,AR105*38.6*IF(OR(AO105&gt;$J$105,AP105&lt;$K$105), 0, IF(AO105&lt;$J$105,AP105-$J$105,IF($K$105&lt;AP105,AP105-$K$105,AQ105)))/AQ105,0)</f>
        <v>0</v>
      </c>
      <c r="AT105" s="345" t="e" cm="1">
        <f t="array" ref="AT105">IF('Pathway B benchmarks'!F39,INDEX('Pathway B benchmarks'!F39:F56,MATCH(1,($AS$6='Pathway B benchmarks'!A39:A56)*($M$105='Pathway B benchmarks'!B39:B56),0),1))</f>
        <v>#N/A</v>
      </c>
      <c r="AU105" s="347">
        <f t="shared" si="36"/>
        <v>0</v>
      </c>
      <c r="AV105" s="347" t="e">
        <f>IF($I105="","",IF($I105="Custom",0,INDEX('Pathway B benchmarks'!$17:$18,MATCH($I105,'Pathway B benchmarks'!$A$17:$A$18,0),MATCH($S105,'Pathway B benchmarks'!$17:$17,0))))</f>
        <v>#N/A</v>
      </c>
      <c r="AW105" s="347" t="e">
        <f>IF($I105="","",IF($I105="Custom",0,INDEX('Pathway B benchmarks'!$30:$34,2,MATCH($S105,'Pathway B benchmarks'!$30:$30,0))))</f>
        <v>#N/A</v>
      </c>
      <c r="AX105" s="345" t="e">
        <f>IF($AW$105=0,1,$Q$105/$AW$105)*$AV$105</f>
        <v>#N/A</v>
      </c>
      <c r="AY105" s="353" t="e">
        <f>$AX$105/1000*$Y105/0.0036</f>
        <v>#N/A</v>
      </c>
      <c r="AZ105" s="353" t="e">
        <f>$AY$105/70*100</f>
        <v>#N/A</v>
      </c>
      <c r="BA105" s="353" t="e">
        <f t="shared" si="37"/>
        <v>#N/A</v>
      </c>
      <c r="BB105" s="350">
        <f t="shared" si="43"/>
        <v>0</v>
      </c>
      <c r="BC105" s="350" t="e">
        <f t="shared" si="39"/>
        <v>#N/A</v>
      </c>
      <c r="BD105" s="351">
        <f>IF(OR(E105="Whole Building", E105="Hotel", E105="School", E105="Data Centre (Whole facility)", E105="Residential Aged Care", E105="Retirement Living", E105="RAC and retirement (co-located)"),VLOOKUP(BB105,'Points Table'!$B$13:$C$36,2,TRUE),IF(OR(E105="Base Building", E105="Shopping Centre", E105="Apartment", E105="Warehouse and Cold Store", E105="Data Centre (Infrastructure)"),VLOOKUP(BB105,'Points Table'!$E$13:$F$33,2,TRUE),0))</f>
        <v>0</v>
      </c>
      <c r="BE105" s="352" t="str">
        <f>IF(AND($E$105="Whole Building", $BD$105&gt;=10), "YES", IF(AND($E$105="Base Building", $BD$105&gt;=8), "YES", "NO"))</f>
        <v>NO</v>
      </c>
    </row>
    <row r="106" spans="2:57">
      <c r="B106" s="300"/>
      <c r="C106" s="300"/>
      <c r="D106" s="300"/>
      <c r="E106" s="300"/>
      <c r="F106" s="300"/>
      <c r="G106" s="300"/>
      <c r="H106" s="300"/>
      <c r="I106" s="343" t="s">
        <v>943</v>
      </c>
      <c r="J106" s="274"/>
      <c r="K106" s="274"/>
      <c r="L106" s="359">
        <f t="shared" si="40"/>
        <v>1</v>
      </c>
      <c r="M106" s="362">
        <f t="shared" si="28"/>
        <v>1900</v>
      </c>
      <c r="N106" s="300"/>
      <c r="O106" s="300"/>
      <c r="P106" s="300"/>
      <c r="Q106" s="300"/>
      <c r="R106" s="300"/>
      <c r="S106" s="300"/>
      <c r="T106" s="303"/>
      <c r="U106" s="303"/>
      <c r="V106" s="344" t="str">
        <f t="shared" si="41"/>
        <v/>
      </c>
      <c r="W106" s="339"/>
      <c r="X106" s="363">
        <f>IF(W106&gt;0,W106*0.0036*IF(OR(T106&gt;$J$106,U106&lt;$K$106), 0, IF(T106&lt;$J$106,U106-$J$106,IF($K$106&lt;U106,U106-$K$106,V106)))/V106,0)</f>
        <v>0</v>
      </c>
      <c r="Y106" s="346" t="e" cm="1">
        <f t="array" ref="Y106">IF('Pathway B benchmarks'!C61,INDEX('Pathway B benchmarks'!C61:C63,MATCH(1,($I$7='Pathway B benchmarks'!A61:A63)*($M$106='Pathway B benchmarks'!B61:B63),0),1))</f>
        <v>#N/A</v>
      </c>
      <c r="Z106" s="347" t="e">
        <f t="shared" si="30"/>
        <v>#N/A</v>
      </c>
      <c r="AA106" s="303"/>
      <c r="AB106" s="303"/>
      <c r="AC106" s="344" t="str">
        <f t="shared" si="31"/>
        <v/>
      </c>
      <c r="AD106" s="339"/>
      <c r="AE106" s="364">
        <f>IF(AD106&gt;0,AD106*0.001*IF(OR(AA106&gt;$J$106,AB106&lt;$K$106), 0, IF(AA106&lt;$J$106,AB106-$J$106,IF($K$106&lt;AB106,AB106-$K$106,AC106)))/AC106,0)</f>
        <v>0</v>
      </c>
      <c r="AF106" s="348" t="e" cm="1">
        <f t="array" ref="AF106">IF('Pathway B benchmarks'!F39,INDEX('Pathway B benchmarks'!F39:F56,MATCH(1,($AE$6='Pathway B benchmarks'!A39:A56)*($M$106='Pathway B benchmarks'!B39:B56),0),1))</f>
        <v>#N/A</v>
      </c>
      <c r="AG106" s="349">
        <f t="shared" si="32"/>
        <v>0</v>
      </c>
      <c r="AH106" s="303"/>
      <c r="AI106" s="303"/>
      <c r="AJ106" s="344" t="str">
        <f t="shared" si="33"/>
        <v/>
      </c>
      <c r="AK106" s="339"/>
      <c r="AL106" s="363">
        <f>IF(AK106&gt;0,AK106*26.2*IF(OR(AH106&gt;$J$106,AI106&lt;$K$106), 0, IF(AH106&lt;$J$106,AI106-$J$106,IF($K$106&lt;AI106,AI106-$K$106,AJ106)))/AJ106,0)</f>
        <v>0</v>
      </c>
      <c r="AM106" s="345" t="e" cm="1">
        <f t="array" ref="AM106">IF('Pathway B benchmarks'!F39,INDEX('Pathway B benchmarks'!F39:F56,MATCH(1,($AL$6='Pathway B benchmarks'!A39:A56)*($M$106='Pathway B benchmarks'!B39:B56),0),1))</f>
        <v>#N/A</v>
      </c>
      <c r="AN106" s="347">
        <f t="shared" si="34"/>
        <v>0</v>
      </c>
      <c r="AO106" s="303"/>
      <c r="AP106" s="303"/>
      <c r="AQ106" s="344" t="str">
        <f t="shared" si="42"/>
        <v/>
      </c>
      <c r="AR106" s="339"/>
      <c r="AS106" s="363">
        <f>IF(AR106&gt;0,AR106*38.6*IF(OR(AO106&gt;$J$106,AP106&lt;$K$106), 0, IF(AO106&lt;$J$106,AP106-$J$106,IF($K$106&lt;AP106,AP106-$K$106,AQ106)))/AQ106,0)</f>
        <v>0</v>
      </c>
      <c r="AT106" s="345" t="e" cm="1">
        <f t="array" ref="AT106">IF('Pathway B benchmarks'!F39,INDEX('Pathway B benchmarks'!F39:F56,MATCH(1,($AS$6='Pathway B benchmarks'!A39:A56)*($M$106='Pathway B benchmarks'!B39:B56),0),1))</f>
        <v>#N/A</v>
      </c>
      <c r="AU106" s="347">
        <f t="shared" si="36"/>
        <v>0</v>
      </c>
      <c r="AV106" s="347" t="e">
        <f>IF($I106="","",IF($I106="Custom",0,INDEX('Pathway B benchmarks'!$17:$18,MATCH($I106,'Pathway B benchmarks'!$A$17:$A$18,0),MATCH($S106,'Pathway B benchmarks'!$17:$17,0))))</f>
        <v>#N/A</v>
      </c>
      <c r="AW106" s="347" t="e">
        <f>IF($I106="","",IF($I106="Custom",0,INDEX('Pathway B benchmarks'!$30:$34,2,MATCH($S106,'Pathway B benchmarks'!$30:$30,0))))</f>
        <v>#N/A</v>
      </c>
      <c r="AX106" s="345" t="e">
        <f>IF($AW$106=0,1,$Q$106/$AW$106)*$AV$106</f>
        <v>#N/A</v>
      </c>
      <c r="AY106" s="353" t="e">
        <f>$AX$106/1000*$Y106/0.0036</f>
        <v>#N/A</v>
      </c>
      <c r="AZ106" s="353" t="e">
        <f>$AY$106/70*100</f>
        <v>#N/A</v>
      </c>
      <c r="BA106" s="353" t="e">
        <f t="shared" si="37"/>
        <v>#N/A</v>
      </c>
      <c r="BB106" s="350">
        <f t="shared" si="43"/>
        <v>0</v>
      </c>
      <c r="BC106" s="350" t="e">
        <f t="shared" si="39"/>
        <v>#N/A</v>
      </c>
      <c r="BD106" s="351">
        <f>IF(OR(E106="Whole Building", E106="Hotel", E106="School", E106="Data Centre (Whole facility)", E106="Residential Aged Care", E106="Retirement Living", E106="RAC and retirement (co-located)"),VLOOKUP(BB106,'Points Table'!$B$13:$C$36,2,TRUE),IF(OR(E106="Base Building", E106="Shopping Centre", E106="Apartment", E106="Warehouse and Cold Store", E106="Data Centre (Infrastructure)"),VLOOKUP(BB106,'Points Table'!$E$13:$F$33,2,TRUE),0))</f>
        <v>0</v>
      </c>
      <c r="BE106" s="352" t="str">
        <f>IF(AND($E$106="Whole Building", $BD$106&gt;=10), "YES", IF(AND($E$106="Base Building", $BD$106&gt;=8), "YES", "NO"))</f>
        <v>NO</v>
      </c>
    </row>
    <row r="107" spans="2:57">
      <c r="B107" s="300"/>
      <c r="C107" s="300"/>
      <c r="D107" s="300"/>
      <c r="E107" s="300"/>
      <c r="F107" s="300"/>
      <c r="G107" s="300"/>
      <c r="H107" s="300"/>
      <c r="I107" s="343" t="s">
        <v>943</v>
      </c>
      <c r="J107" s="274"/>
      <c r="K107" s="274"/>
      <c r="L107" s="359">
        <f t="shared" si="40"/>
        <v>1</v>
      </c>
      <c r="M107" s="362">
        <f t="shared" si="28"/>
        <v>1900</v>
      </c>
      <c r="N107" s="300"/>
      <c r="O107" s="300"/>
      <c r="P107" s="300"/>
      <c r="Q107" s="300"/>
      <c r="R107" s="300"/>
      <c r="S107" s="300"/>
      <c r="T107" s="303"/>
      <c r="U107" s="303"/>
      <c r="V107" s="344" t="str">
        <f t="shared" si="41"/>
        <v/>
      </c>
      <c r="W107" s="339"/>
      <c r="X107" s="363">
        <f>IF(W107&gt;0,W107*0.0036*IF(OR(T107&gt;$J$107,U107&lt;$K$107), 0, IF(T107&lt;$J$107,U107-$J$107,IF($K$107&lt;U107,U107-$K$107,V107)))/V107,0)</f>
        <v>0</v>
      </c>
      <c r="Y107" s="346" t="e" cm="1">
        <f t="array" ref="Y107">IF('Pathway B benchmarks'!C61,INDEX('Pathway B benchmarks'!C61:C63,MATCH(1,($I$7='Pathway B benchmarks'!A61:A63)*($M$107='Pathway B benchmarks'!B61:B63),0),1))</f>
        <v>#N/A</v>
      </c>
      <c r="Z107" s="347" t="e">
        <f t="shared" si="30"/>
        <v>#N/A</v>
      </c>
      <c r="AA107" s="303"/>
      <c r="AB107" s="303"/>
      <c r="AC107" s="344" t="str">
        <f t="shared" si="31"/>
        <v/>
      </c>
      <c r="AD107" s="339"/>
      <c r="AE107" s="364">
        <f>IF(AD107&gt;0,AD107*0.001*IF(OR(AA107&gt;$J$107,AB107&lt;$K$107), 0, IF(AA107&lt;$J$107,AB107-$J$107,IF($K$107&lt;AB107,AB107-$K$107,AC107)))/AC107,0)</f>
        <v>0</v>
      </c>
      <c r="AF107" s="348" t="e" cm="1">
        <f t="array" ref="AF107">IF('Pathway B benchmarks'!F39,INDEX('Pathway B benchmarks'!F39:F56,MATCH(1,($AE$6='Pathway B benchmarks'!A39:A56)*($M$107='Pathway B benchmarks'!B39:B56),0),1))</f>
        <v>#N/A</v>
      </c>
      <c r="AG107" s="349">
        <f t="shared" si="32"/>
        <v>0</v>
      </c>
      <c r="AH107" s="303"/>
      <c r="AI107" s="303"/>
      <c r="AJ107" s="344" t="str">
        <f t="shared" si="33"/>
        <v/>
      </c>
      <c r="AK107" s="339"/>
      <c r="AL107" s="363">
        <f>IF(AK107&gt;0,AK107*26.2*IF(OR(AH107&gt;$J$107,AI107&lt;$K$107), 0, IF(AH107&lt;$J$107,AI107-$J$107,IF($K$107&lt;AI107,AI107-$K$107,AJ107)))/AJ107,0)</f>
        <v>0</v>
      </c>
      <c r="AM107" s="345" t="e" cm="1">
        <f t="array" ref="AM107">IF('Pathway B benchmarks'!F39,INDEX('Pathway B benchmarks'!F39:F56,MATCH(1,($AL$6='Pathway B benchmarks'!A39:A56)*($M$107='Pathway B benchmarks'!B39:B56),0),1))</f>
        <v>#N/A</v>
      </c>
      <c r="AN107" s="347">
        <f t="shared" si="34"/>
        <v>0</v>
      </c>
      <c r="AO107" s="303"/>
      <c r="AP107" s="303"/>
      <c r="AQ107" s="344" t="str">
        <f t="shared" si="42"/>
        <v/>
      </c>
      <c r="AR107" s="339"/>
      <c r="AS107" s="363">
        <f>IF(AR107&gt;0,AR107*38.6*IF(OR(AO107&gt;$J$107,AP107&lt;$K$107), 0, IF(AO107&lt;$J$107,AP107-$J$107,IF($K$107&lt;AP107,AP107-$K$107,AQ107)))/AQ107,0)</f>
        <v>0</v>
      </c>
      <c r="AT107" s="345" t="e" cm="1">
        <f t="array" ref="AT107">IF('Pathway B benchmarks'!F39,INDEX('Pathway B benchmarks'!F39:F56,MATCH(1,($AS$6='Pathway B benchmarks'!A39:A56)*($M$107='Pathway B benchmarks'!B39:B56),0),1))</f>
        <v>#N/A</v>
      </c>
      <c r="AU107" s="347">
        <f t="shared" si="36"/>
        <v>0</v>
      </c>
      <c r="AV107" s="347" t="e">
        <f>IF($I107="","",IF($I107="Custom",0,INDEX('Pathway B benchmarks'!$17:$18,MATCH($I107,'Pathway B benchmarks'!$A$17:$A$18,0),MATCH($S107,'Pathway B benchmarks'!$17:$17,0))))</f>
        <v>#N/A</v>
      </c>
      <c r="AW107" s="347" t="e">
        <f>IF($I107="","",IF($I107="Custom",0,INDEX('Pathway B benchmarks'!$30:$34,2,MATCH($S107,'Pathway B benchmarks'!$30:$30,0))))</f>
        <v>#N/A</v>
      </c>
      <c r="AX107" s="345" t="e">
        <f>IF($AW$107=0,1,$Q$107/$AW$107)*$AV$107</f>
        <v>#N/A</v>
      </c>
      <c r="AY107" s="353" t="e">
        <f>$AX$107/1000*$Y107/0.0036</f>
        <v>#N/A</v>
      </c>
      <c r="AZ107" s="353" t="e">
        <f>$AY$107/70*100</f>
        <v>#N/A</v>
      </c>
      <c r="BA107" s="353" t="e">
        <f t="shared" si="37"/>
        <v>#N/A</v>
      </c>
      <c r="BB107" s="350">
        <f t="shared" si="43"/>
        <v>0</v>
      </c>
      <c r="BC107" s="350" t="e">
        <f t="shared" si="39"/>
        <v>#N/A</v>
      </c>
      <c r="BD107" s="351">
        <f>IF(OR(E107="Whole Building", E107="Hotel", E107="School", E107="Data Centre (Whole facility)", E107="Residential Aged Care", E107="Retirement Living", E107="RAC and retirement (co-located)"),VLOOKUP(BB107,'Points Table'!$B$13:$C$36,2,TRUE),IF(OR(E107="Base Building", E107="Shopping Centre", E107="Apartment", E107="Warehouse and Cold Store", E107="Data Centre (Infrastructure)"),VLOOKUP(BB107,'Points Table'!$E$13:$F$33,2,TRUE),0))</f>
        <v>0</v>
      </c>
      <c r="BE107" s="352" t="str">
        <f>IF(AND($E$107="Whole Building", $BD$107&gt;=10), "YES", IF(AND($E$107="Base Building", $BD$107&gt;=8), "YES", "NO"))</f>
        <v>NO</v>
      </c>
    </row>
  </sheetData>
  <sheetProtection algorithmName="SHA-512" hashValue="T61Mc1fTvfAP6MrHCe+mWT5qgYWhM38MEe2BJAvguFL8EBLL4xnFQLu1j6JSeMw1zVJcr5D4AxjOSW2uVfqywA==" saltValue="8RPiFI9fN3PYIbbm8xZifg==" spinCount="100000" sheet="1" objects="1" scenarios="1"/>
  <autoFilter ref="B5:E5" xr:uid="{01310396-8987-4E93-AC77-D98BAA57D4A7}">
    <filterColumn colId="0" showButton="0"/>
    <filterColumn colId="1" showButton="0"/>
    <filterColumn colId="2" showButton="0"/>
  </autoFilter>
  <mergeCells count="7">
    <mergeCell ref="BF5:BF6"/>
    <mergeCell ref="W3:AR4"/>
    <mergeCell ref="AY5:BE5"/>
    <mergeCell ref="T5:AR5"/>
    <mergeCell ref="B3:E3"/>
    <mergeCell ref="B5:E5"/>
    <mergeCell ref="B4:S4"/>
  </mergeCells>
  <phoneticPr fontId="105" type="noConversion"/>
  <conditionalFormatting sqref="AY7:BE107">
    <cfRule type="expression" dxfId="94" priority="3">
      <formula>#REF!="Simple"</formula>
    </cfRule>
  </conditionalFormatting>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F30BBF3-E9AF-40F3-87AF-44621E547040}">
          <x14:formula1>
            <xm:f>'Pathway B benchmarks'!$A$7:$A$13</xm:f>
          </x14:formula1>
          <xm:sqref>D7:D107</xm:sqref>
        </x14:dataValidation>
        <x14:dataValidation type="list" allowBlank="1" showInputMessage="1" showErrorMessage="1" xr:uid="{AFAFB036-63D0-4B98-85F7-D6A80C70A1F4}">
          <x14:formula1>
            <xm:f>'Pathway B benchmarks'!$A$3:$A$4</xm:f>
          </x14:formula1>
          <xm:sqref>E7:E107</xm:sqref>
        </x14:dataValidation>
        <x14:dataValidation type="list" allowBlank="1" showInputMessage="1" showErrorMessage="1" xr:uid="{10EF1479-6F79-443F-8AE4-BD173B122EEE}">
          <x14:formula1>
            <xm:f>'Pathway B benchmarks'!$D$17:$L$17</xm:f>
          </x14:formula1>
          <xm:sqref>S7:S107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7CD4-FF0B-4C9A-9D13-B98B1098B6E1}">
  <sheetPr codeName="Sheet9">
    <tabColor theme="0"/>
  </sheetPr>
  <dimension ref="A2:N76"/>
  <sheetViews>
    <sheetView topLeftCell="A30" workbookViewId="0">
      <selection activeCell="B34" sqref="B34"/>
    </sheetView>
  </sheetViews>
  <sheetFormatPr defaultRowHeight="13.15"/>
  <cols>
    <col min="1" max="1" width="29.28515625" customWidth="1"/>
    <col min="7" max="7" width="14.7109375" customWidth="1"/>
    <col min="9" max="9" width="11.5703125" customWidth="1"/>
  </cols>
  <sheetData>
    <row r="2" spans="1:12">
      <c r="A2" t="s">
        <v>944</v>
      </c>
    </row>
    <row r="3" spans="1:12">
      <c r="A3" t="s">
        <v>945</v>
      </c>
    </row>
    <row r="4" spans="1:12">
      <c r="A4" t="s">
        <v>946</v>
      </c>
    </row>
    <row r="6" spans="1:12">
      <c r="A6" s="138" t="s">
        <v>947</v>
      </c>
    </row>
    <row r="7" spans="1:12">
      <c r="A7" s="304" t="s">
        <v>715</v>
      </c>
    </row>
    <row r="8" spans="1:12">
      <c r="A8" s="304" t="s">
        <v>716</v>
      </c>
    </row>
    <row r="9" spans="1:12">
      <c r="A9" s="304" t="s">
        <v>719</v>
      </c>
    </row>
    <row r="10" spans="1:12">
      <c r="A10" s="304" t="s">
        <v>721</v>
      </c>
    </row>
    <row r="11" spans="1:12">
      <c r="A11" s="304" t="s">
        <v>516</v>
      </c>
    </row>
    <row r="12" spans="1:12">
      <c r="A12" s="304" t="s">
        <v>518</v>
      </c>
    </row>
    <row r="13" spans="1:12">
      <c r="A13" s="132" t="s">
        <v>520</v>
      </c>
    </row>
    <row r="15" spans="1:12" ht="18">
      <c r="A15" s="181" t="s">
        <v>948</v>
      </c>
      <c r="B15" s="181"/>
      <c r="C15" s="181"/>
      <c r="D15" s="181"/>
      <c r="E15" s="181"/>
      <c r="F15" s="181"/>
      <c r="G15" s="181"/>
      <c r="H15" s="181"/>
      <c r="I15" s="181"/>
      <c r="J15" s="181"/>
      <c r="K15" s="181"/>
      <c r="L15" s="181"/>
    </row>
    <row r="16" spans="1:12">
      <c r="A16" s="3"/>
      <c r="B16" s="3"/>
      <c r="C16" s="3"/>
      <c r="D16" s="3"/>
      <c r="E16" s="3"/>
      <c r="F16" s="3"/>
      <c r="G16" s="3"/>
      <c r="H16" s="3"/>
      <c r="I16" s="3"/>
      <c r="J16" s="3"/>
      <c r="K16" s="3"/>
      <c r="L16" s="3"/>
    </row>
    <row r="17" spans="1:14" ht="171.6">
      <c r="A17" s="105" t="s">
        <v>949</v>
      </c>
      <c r="B17" s="105" t="s">
        <v>950</v>
      </c>
      <c r="C17" s="105" t="s">
        <v>951</v>
      </c>
      <c r="D17" s="105" t="s">
        <v>952</v>
      </c>
      <c r="E17" s="105" t="s">
        <v>953</v>
      </c>
      <c r="F17" s="105" t="s">
        <v>954</v>
      </c>
      <c r="G17" s="105" t="s">
        <v>955</v>
      </c>
      <c r="H17" s="105" t="s">
        <v>956</v>
      </c>
      <c r="I17" s="105" t="s">
        <v>957</v>
      </c>
      <c r="J17" s="105" t="s">
        <v>958</v>
      </c>
      <c r="K17" s="105" t="s">
        <v>959</v>
      </c>
      <c r="L17" s="105" t="s">
        <v>960</v>
      </c>
    </row>
    <row r="18" spans="1:14">
      <c r="A18" s="341" t="s">
        <v>943</v>
      </c>
      <c r="B18" s="341" t="s">
        <v>961</v>
      </c>
      <c r="C18" s="341" t="s">
        <v>962</v>
      </c>
      <c r="D18" s="309">
        <v>293</v>
      </c>
      <c r="E18" s="309">
        <v>461</v>
      </c>
      <c r="F18" s="309">
        <v>754</v>
      </c>
      <c r="G18" s="309">
        <v>293</v>
      </c>
      <c r="H18" s="309">
        <v>754</v>
      </c>
      <c r="I18" s="310">
        <v>842.4</v>
      </c>
      <c r="J18" s="309">
        <f t="shared" ref="J18" si="0">70*3.6</f>
        <v>252</v>
      </c>
      <c r="K18" s="309">
        <f t="shared" ref="K18" si="1">35*3.6</f>
        <v>126</v>
      </c>
      <c r="L18" s="340">
        <v>903.6</v>
      </c>
    </row>
    <row r="20" spans="1:14" ht="15.6">
      <c r="A20" s="181" t="s">
        <v>963</v>
      </c>
      <c r="B20" s="181"/>
      <c r="C20" s="181"/>
      <c r="D20" s="181"/>
      <c r="E20" s="181"/>
      <c r="F20" s="181"/>
      <c r="G20" s="181"/>
      <c r="H20" s="181"/>
      <c r="I20" s="181"/>
      <c r="J20" s="181"/>
      <c r="K20" s="181"/>
      <c r="L20" s="181"/>
    </row>
    <row r="22" spans="1:14" ht="132">
      <c r="A22" s="105" t="s">
        <v>943</v>
      </c>
      <c r="B22" s="105" t="s">
        <v>952</v>
      </c>
      <c r="C22" s="105" t="s">
        <v>953</v>
      </c>
      <c r="D22" s="105" t="s">
        <v>954</v>
      </c>
      <c r="E22" s="105" t="s">
        <v>955</v>
      </c>
      <c r="F22" s="105" t="s">
        <v>956</v>
      </c>
      <c r="G22" s="105" t="s">
        <v>957</v>
      </c>
      <c r="H22" s="105" t="s">
        <v>958</v>
      </c>
      <c r="I22" s="105" t="s">
        <v>959</v>
      </c>
      <c r="J22" s="105" t="s">
        <v>960</v>
      </c>
    </row>
    <row r="23" spans="1:14">
      <c r="A23" s="311" t="s">
        <v>964</v>
      </c>
      <c r="B23" s="312">
        <v>1</v>
      </c>
      <c r="C23" s="312">
        <v>1</v>
      </c>
      <c r="D23" s="312">
        <v>1</v>
      </c>
      <c r="E23" s="312">
        <v>1</v>
      </c>
      <c r="F23" s="312">
        <v>1</v>
      </c>
      <c r="G23" s="312">
        <v>1</v>
      </c>
      <c r="H23" s="312">
        <v>1</v>
      </c>
      <c r="I23" s="312">
        <v>1</v>
      </c>
      <c r="J23" s="312">
        <v>1</v>
      </c>
    </row>
    <row r="24" spans="1:14">
      <c r="A24" s="311" t="s">
        <v>965</v>
      </c>
      <c r="B24" s="313">
        <v>0</v>
      </c>
      <c r="C24" s="313">
        <v>0</v>
      </c>
      <c r="D24" s="313">
        <v>0</v>
      </c>
      <c r="E24" s="313">
        <v>0</v>
      </c>
      <c r="F24" s="313">
        <v>0</v>
      </c>
      <c r="G24" s="313">
        <v>0</v>
      </c>
      <c r="H24" s="313">
        <v>0</v>
      </c>
      <c r="I24" s="313">
        <v>0</v>
      </c>
      <c r="J24" s="313">
        <v>0</v>
      </c>
    </row>
    <row r="25" spans="1:14">
      <c r="A25" s="311" t="s">
        <v>966</v>
      </c>
      <c r="B25" s="313">
        <v>0</v>
      </c>
      <c r="C25" s="313">
        <v>0</v>
      </c>
      <c r="D25" s="313">
        <v>0</v>
      </c>
      <c r="E25" s="313">
        <v>0</v>
      </c>
      <c r="F25" s="313">
        <v>0</v>
      </c>
      <c r="G25" s="313">
        <v>0</v>
      </c>
      <c r="H25" s="313">
        <v>0</v>
      </c>
      <c r="I25" s="313">
        <v>0</v>
      </c>
      <c r="J25" s="313">
        <v>0</v>
      </c>
    </row>
    <row r="26" spans="1:14">
      <c r="A26" s="311" t="s">
        <v>967</v>
      </c>
      <c r="B26" s="313">
        <v>0</v>
      </c>
      <c r="C26" s="313">
        <v>0</v>
      </c>
      <c r="D26" s="313">
        <v>0</v>
      </c>
      <c r="E26" s="313">
        <v>0</v>
      </c>
      <c r="F26" s="313">
        <v>0</v>
      </c>
      <c r="G26" s="313">
        <v>0</v>
      </c>
      <c r="H26" s="313">
        <v>0</v>
      </c>
      <c r="I26" s="313">
        <v>0</v>
      </c>
      <c r="J26" s="313">
        <v>0</v>
      </c>
    </row>
    <row r="28" spans="1:14" ht="15.6">
      <c r="A28" s="181" t="s">
        <v>963</v>
      </c>
      <c r="B28" s="181"/>
      <c r="C28" s="181"/>
      <c r="D28" s="181"/>
      <c r="E28" s="181"/>
      <c r="F28" s="181"/>
      <c r="G28" s="181"/>
      <c r="H28" s="181"/>
      <c r="I28" s="181"/>
      <c r="J28" s="181"/>
      <c r="K28" s="181"/>
      <c r="L28" s="181"/>
    </row>
    <row r="30" spans="1:14" ht="198">
      <c r="A30" s="105" t="s">
        <v>943</v>
      </c>
      <c r="B30" s="105"/>
      <c r="C30" s="105"/>
      <c r="D30" s="105"/>
      <c r="E30" s="105"/>
      <c r="F30" s="105" t="s">
        <v>952</v>
      </c>
      <c r="G30" s="105" t="s">
        <v>953</v>
      </c>
      <c r="H30" s="105" t="s">
        <v>954</v>
      </c>
      <c r="I30" s="105" t="s">
        <v>955</v>
      </c>
      <c r="J30" s="105" t="s">
        <v>956</v>
      </c>
      <c r="K30" s="105" t="s">
        <v>957</v>
      </c>
      <c r="L30" s="105" t="s">
        <v>958</v>
      </c>
      <c r="M30" s="105" t="s">
        <v>959</v>
      </c>
      <c r="N30" s="105" t="s">
        <v>960</v>
      </c>
    </row>
    <row r="31" spans="1:14">
      <c r="A31" s="311" t="s">
        <v>968</v>
      </c>
      <c r="B31" s="314"/>
      <c r="C31" s="314"/>
      <c r="D31" s="314"/>
      <c r="E31" s="314"/>
      <c r="F31" s="314">
        <v>52.9</v>
      </c>
      <c r="G31" s="314">
        <v>59.2</v>
      </c>
      <c r="H31" s="314">
        <v>59.2</v>
      </c>
      <c r="I31" s="314">
        <v>59.2</v>
      </c>
      <c r="J31" s="314">
        <v>59.2</v>
      </c>
      <c r="K31" s="314">
        <v>61</v>
      </c>
      <c r="L31" s="314">
        <v>56</v>
      </c>
      <c r="M31" s="314">
        <v>62</v>
      </c>
      <c r="N31" s="314">
        <v>61</v>
      </c>
    </row>
    <row r="32" spans="1:14" s="3" customFormat="1">
      <c r="A32" s="311" t="s">
        <v>969</v>
      </c>
      <c r="B32" s="314"/>
      <c r="C32" s="314"/>
      <c r="D32" s="314"/>
      <c r="E32" s="314"/>
      <c r="F32" s="314"/>
      <c r="G32" s="314"/>
      <c r="H32" s="314"/>
      <c r="I32" s="314"/>
      <c r="J32" s="314"/>
      <c r="K32" s="314"/>
      <c r="L32" s="314"/>
      <c r="M32" s="314"/>
      <c r="N32" s="314"/>
    </row>
    <row r="33" spans="1:14" s="3" customFormat="1" ht="26.45">
      <c r="A33" s="311" t="s">
        <v>970</v>
      </c>
      <c r="B33" s="314"/>
      <c r="C33" s="314"/>
      <c r="D33" s="314"/>
      <c r="E33" s="314"/>
      <c r="F33" s="314"/>
      <c r="G33" s="314"/>
      <c r="H33" s="314"/>
      <c r="I33" s="314"/>
      <c r="J33" s="314"/>
      <c r="K33" s="314"/>
      <c r="L33" s="314"/>
      <c r="M33" s="314"/>
      <c r="N33" s="314"/>
    </row>
    <row r="34" spans="1:14" s="3" customFormat="1">
      <c r="A34" s="128" t="s">
        <v>971</v>
      </c>
      <c r="B34" s="342"/>
      <c r="C34" s="342"/>
      <c r="D34" s="342"/>
      <c r="E34" s="342"/>
      <c r="F34" s="143"/>
      <c r="G34" s="143"/>
      <c r="H34" s="143"/>
      <c r="I34" s="143"/>
      <c r="J34" s="143"/>
      <c r="K34" s="128"/>
      <c r="L34" s="143"/>
      <c r="M34" s="143"/>
      <c r="N34" s="143"/>
    </row>
    <row r="36" spans="1:14" ht="15.6">
      <c r="A36" s="315" t="s">
        <v>972</v>
      </c>
      <c r="B36" s="316"/>
      <c r="C36" s="316"/>
      <c r="D36" s="317"/>
      <c r="E36" s="316"/>
      <c r="F36" s="316"/>
      <c r="G36" s="318"/>
    </row>
    <row r="37" spans="1:14" ht="15.6">
      <c r="A37" s="435" t="s">
        <v>973</v>
      </c>
      <c r="B37" s="437" t="s">
        <v>974</v>
      </c>
      <c r="C37" s="439" t="s">
        <v>975</v>
      </c>
      <c r="D37" s="440"/>
      <c r="E37" s="441"/>
      <c r="F37" s="437" t="s">
        <v>976</v>
      </c>
      <c r="G37" s="435" t="s">
        <v>113</v>
      </c>
    </row>
    <row r="38" spans="1:14" ht="18">
      <c r="A38" s="436"/>
      <c r="B38" s="438"/>
      <c r="C38" s="319" t="s">
        <v>977</v>
      </c>
      <c r="D38" s="319" t="s">
        <v>978</v>
      </c>
      <c r="E38" s="319" t="s">
        <v>979</v>
      </c>
      <c r="F38" s="438"/>
      <c r="G38" s="436"/>
    </row>
    <row r="39" spans="1:14" ht="15.6">
      <c r="A39" s="320" t="s">
        <v>980</v>
      </c>
      <c r="B39" s="321">
        <v>2024</v>
      </c>
      <c r="C39" s="322">
        <v>87.6</v>
      </c>
      <c r="D39" s="322">
        <v>0.2</v>
      </c>
      <c r="E39" s="322">
        <v>0.4</v>
      </c>
      <c r="F39" s="323">
        <f t="shared" ref="F39:F44" si="2">SUM(C39:E39)</f>
        <v>88.2</v>
      </c>
      <c r="G39" s="320" t="s">
        <v>981</v>
      </c>
    </row>
    <row r="40" spans="1:14" ht="15.6">
      <c r="A40" s="324" t="s">
        <v>982</v>
      </c>
      <c r="B40" s="325">
        <v>2024</v>
      </c>
      <c r="C40" s="326">
        <v>89.9</v>
      </c>
      <c r="D40" s="326">
        <v>0.2</v>
      </c>
      <c r="E40" s="326">
        <v>0.4</v>
      </c>
      <c r="F40" s="327">
        <f t="shared" si="2"/>
        <v>90.500000000000014</v>
      </c>
      <c r="G40" s="324" t="s">
        <v>981</v>
      </c>
    </row>
    <row r="41" spans="1:14" ht="15.6">
      <c r="A41" s="324" t="s">
        <v>917</v>
      </c>
      <c r="B41" s="325">
        <v>2024</v>
      </c>
      <c r="C41" s="326">
        <v>53.8</v>
      </c>
      <c r="D41" s="328">
        <v>0.1</v>
      </c>
      <c r="E41" s="328">
        <v>0</v>
      </c>
      <c r="F41" s="327">
        <f t="shared" si="2"/>
        <v>53.9</v>
      </c>
      <c r="G41" s="324" t="s">
        <v>981</v>
      </c>
    </row>
    <row r="42" spans="1:14" ht="15.6">
      <c r="A42" s="324" t="s">
        <v>931</v>
      </c>
      <c r="B42" s="325">
        <v>2024</v>
      </c>
      <c r="C42" s="326">
        <v>69.2</v>
      </c>
      <c r="D42" s="326">
        <v>0.2</v>
      </c>
      <c r="E42" s="326">
        <v>0.2</v>
      </c>
      <c r="F42" s="327">
        <f t="shared" si="2"/>
        <v>69.600000000000009</v>
      </c>
      <c r="G42" s="324" t="s">
        <v>981</v>
      </c>
    </row>
    <row r="43" spans="1:14" ht="15.6">
      <c r="A43" s="324" t="s">
        <v>983</v>
      </c>
      <c r="B43" s="325">
        <v>2024</v>
      </c>
      <c r="C43" s="326">
        <v>76.3</v>
      </c>
      <c r="D43" s="326">
        <v>0.2</v>
      </c>
      <c r="E43" s="326">
        <v>0.2</v>
      </c>
      <c r="F43" s="327">
        <f t="shared" si="2"/>
        <v>76.7</v>
      </c>
      <c r="G43" s="324" t="s">
        <v>981</v>
      </c>
    </row>
    <row r="44" spans="1:14" ht="15.6">
      <c r="A44" s="329" t="s">
        <v>924</v>
      </c>
      <c r="B44" s="330">
        <v>2024</v>
      </c>
      <c r="C44" s="331">
        <v>63</v>
      </c>
      <c r="D44" s="331">
        <v>0.1</v>
      </c>
      <c r="E44" s="331">
        <v>0</v>
      </c>
      <c r="F44" s="332">
        <f t="shared" si="2"/>
        <v>63.1</v>
      </c>
      <c r="G44" s="329" t="s">
        <v>981</v>
      </c>
    </row>
    <row r="45" spans="1:14" ht="15.6">
      <c r="A45" s="320" t="s">
        <v>980</v>
      </c>
      <c r="B45" s="321">
        <v>2023</v>
      </c>
      <c r="C45" s="322">
        <v>87.6</v>
      </c>
      <c r="D45" s="322">
        <v>0.2</v>
      </c>
      <c r="E45" s="322">
        <v>0.4</v>
      </c>
      <c r="F45" s="323">
        <f t="shared" ref="F45:F56" si="3">SUM(C45:E45)</f>
        <v>88.2</v>
      </c>
      <c r="G45" s="320" t="s">
        <v>981</v>
      </c>
    </row>
    <row r="46" spans="1:14" ht="15.6">
      <c r="A46" s="324" t="s">
        <v>982</v>
      </c>
      <c r="B46" s="321">
        <v>2023</v>
      </c>
      <c r="C46" s="326">
        <v>89.9</v>
      </c>
      <c r="D46" s="326">
        <v>0.2</v>
      </c>
      <c r="E46" s="326">
        <v>0.4</v>
      </c>
      <c r="F46" s="327">
        <f t="shared" si="3"/>
        <v>90.500000000000014</v>
      </c>
      <c r="G46" s="324" t="s">
        <v>981</v>
      </c>
    </row>
    <row r="47" spans="1:14" ht="15.6">
      <c r="A47" s="324" t="s">
        <v>917</v>
      </c>
      <c r="B47" s="321">
        <v>2023</v>
      </c>
      <c r="C47" s="326">
        <v>53.8</v>
      </c>
      <c r="D47" s="328">
        <v>0.1</v>
      </c>
      <c r="E47" s="328">
        <v>0</v>
      </c>
      <c r="F47" s="327">
        <f t="shared" si="3"/>
        <v>53.9</v>
      </c>
      <c r="G47" s="324" t="s">
        <v>981</v>
      </c>
    </row>
    <row r="48" spans="1:14" ht="15.6">
      <c r="A48" s="324" t="s">
        <v>931</v>
      </c>
      <c r="B48" s="321">
        <v>2023</v>
      </c>
      <c r="C48" s="326">
        <v>69.2</v>
      </c>
      <c r="D48" s="326">
        <v>0.2</v>
      </c>
      <c r="E48" s="326">
        <v>0.2</v>
      </c>
      <c r="F48" s="327">
        <f t="shared" si="3"/>
        <v>69.600000000000009</v>
      </c>
      <c r="G48" s="324" t="s">
        <v>981</v>
      </c>
    </row>
    <row r="49" spans="1:7" ht="15.6">
      <c r="A49" s="324" t="s">
        <v>983</v>
      </c>
      <c r="B49" s="321">
        <v>2023</v>
      </c>
      <c r="C49" s="326">
        <v>76.3</v>
      </c>
      <c r="D49" s="326">
        <v>0.2</v>
      </c>
      <c r="E49" s="326">
        <v>0.2</v>
      </c>
      <c r="F49" s="327">
        <f t="shared" si="3"/>
        <v>76.7</v>
      </c>
      <c r="G49" s="324" t="s">
        <v>981</v>
      </c>
    </row>
    <row r="50" spans="1:7" ht="15.6">
      <c r="A50" s="329" t="s">
        <v>924</v>
      </c>
      <c r="B50" s="321">
        <v>2023</v>
      </c>
      <c r="C50" s="331">
        <v>63</v>
      </c>
      <c r="D50" s="331">
        <v>0.1</v>
      </c>
      <c r="E50" s="331">
        <v>0</v>
      </c>
      <c r="F50" s="332">
        <f t="shared" si="3"/>
        <v>63.1</v>
      </c>
      <c r="G50" s="329" t="s">
        <v>981</v>
      </c>
    </row>
    <row r="51" spans="1:7" ht="15.6">
      <c r="A51" s="320" t="s">
        <v>980</v>
      </c>
      <c r="B51" s="321">
        <v>2022</v>
      </c>
      <c r="C51" s="322">
        <v>87.6</v>
      </c>
      <c r="D51" s="322">
        <v>0.2</v>
      </c>
      <c r="E51" s="322">
        <v>0.4</v>
      </c>
      <c r="F51" s="323">
        <f t="shared" si="3"/>
        <v>88.2</v>
      </c>
      <c r="G51" s="320" t="s">
        <v>981</v>
      </c>
    </row>
    <row r="52" spans="1:7" ht="15.6">
      <c r="A52" s="324" t="s">
        <v>982</v>
      </c>
      <c r="B52" s="321">
        <v>2022</v>
      </c>
      <c r="C52" s="326">
        <v>89.9</v>
      </c>
      <c r="D52" s="326">
        <v>0.2</v>
      </c>
      <c r="E52" s="326">
        <v>0.4</v>
      </c>
      <c r="F52" s="327">
        <f t="shared" si="3"/>
        <v>90.500000000000014</v>
      </c>
      <c r="G52" s="324" t="s">
        <v>981</v>
      </c>
    </row>
    <row r="53" spans="1:7" ht="15.6">
      <c r="A53" s="324" t="s">
        <v>917</v>
      </c>
      <c r="B53" s="321">
        <v>2022</v>
      </c>
      <c r="C53" s="326">
        <v>53.8</v>
      </c>
      <c r="D53" s="328">
        <v>0.1</v>
      </c>
      <c r="E53" s="328">
        <v>0</v>
      </c>
      <c r="F53" s="327">
        <f t="shared" si="3"/>
        <v>53.9</v>
      </c>
      <c r="G53" s="324" t="s">
        <v>981</v>
      </c>
    </row>
    <row r="54" spans="1:7" ht="15.6">
      <c r="A54" s="324" t="s">
        <v>931</v>
      </c>
      <c r="B54" s="321">
        <v>2022</v>
      </c>
      <c r="C54" s="326">
        <v>69.2</v>
      </c>
      <c r="D54" s="326">
        <v>0.2</v>
      </c>
      <c r="E54" s="326">
        <v>0.2</v>
      </c>
      <c r="F54" s="327">
        <f t="shared" si="3"/>
        <v>69.600000000000009</v>
      </c>
      <c r="G54" s="324" t="s">
        <v>981</v>
      </c>
    </row>
    <row r="55" spans="1:7" ht="15.6">
      <c r="A55" s="324" t="s">
        <v>983</v>
      </c>
      <c r="B55" s="321">
        <v>2022</v>
      </c>
      <c r="C55" s="326">
        <v>76.3</v>
      </c>
      <c r="D55" s="326">
        <v>0.2</v>
      </c>
      <c r="E55" s="326">
        <v>0.2</v>
      </c>
      <c r="F55" s="327">
        <f t="shared" si="3"/>
        <v>76.7</v>
      </c>
      <c r="G55" s="324" t="s">
        <v>981</v>
      </c>
    </row>
    <row r="56" spans="1:7" ht="15.6">
      <c r="A56" s="329" t="s">
        <v>924</v>
      </c>
      <c r="B56" s="321">
        <v>2022</v>
      </c>
      <c r="C56" s="331">
        <v>63</v>
      </c>
      <c r="D56" s="331">
        <v>0.1</v>
      </c>
      <c r="E56" s="331">
        <v>0</v>
      </c>
      <c r="F56" s="332">
        <f t="shared" si="3"/>
        <v>63.1</v>
      </c>
      <c r="G56" s="329" t="s">
        <v>981</v>
      </c>
    </row>
    <row r="59" spans="1:7" ht="15.6">
      <c r="A59" s="315" t="s">
        <v>984</v>
      </c>
      <c r="B59" s="316"/>
      <c r="C59" s="316"/>
      <c r="D59" s="317"/>
      <c r="E59" s="316"/>
      <c r="F59" s="316"/>
      <c r="G59" s="318"/>
    </row>
    <row r="60" spans="1:7" ht="80.45">
      <c r="A60" s="333" t="s">
        <v>985</v>
      </c>
      <c r="B60" s="319" t="s">
        <v>974</v>
      </c>
      <c r="C60" s="319" t="s">
        <v>986</v>
      </c>
      <c r="D60" s="319" t="s">
        <v>987</v>
      </c>
      <c r="E60" s="319" t="s">
        <v>988</v>
      </c>
      <c r="F60" s="319" t="s">
        <v>989</v>
      </c>
      <c r="G60" s="333" t="s">
        <v>113</v>
      </c>
    </row>
    <row r="61" spans="1:7" ht="15">
      <c r="A61" s="337" t="s">
        <v>943</v>
      </c>
      <c r="B61" s="334">
        <v>2024</v>
      </c>
      <c r="C61" s="335">
        <v>7.2891744199999997E-2</v>
      </c>
      <c r="D61" s="336">
        <f>C61/0.0036</f>
        <v>20.247706722222222</v>
      </c>
      <c r="E61" s="334" t="s">
        <v>495</v>
      </c>
      <c r="F61" s="336" t="s">
        <v>495</v>
      </c>
      <c r="G61" s="337" t="s">
        <v>990</v>
      </c>
    </row>
    <row r="62" spans="1:7" ht="15">
      <c r="A62" s="337" t="s">
        <v>943</v>
      </c>
      <c r="B62" s="334">
        <v>2023</v>
      </c>
      <c r="C62" s="335">
        <v>7.2891744199999997E-2</v>
      </c>
      <c r="D62" s="336">
        <f>C62/0.0036</f>
        <v>20.247706722222222</v>
      </c>
      <c r="E62" s="334" t="s">
        <v>495</v>
      </c>
      <c r="F62" s="336" t="s">
        <v>495</v>
      </c>
      <c r="G62" s="337" t="s">
        <v>990</v>
      </c>
    </row>
    <row r="63" spans="1:7" ht="15">
      <c r="A63" s="337" t="s">
        <v>943</v>
      </c>
      <c r="B63" s="334">
        <v>2022</v>
      </c>
      <c r="C63" s="335">
        <v>7.2891744199999997E-2</v>
      </c>
      <c r="D63" s="336">
        <f>C63/0.0036</f>
        <v>20.247706722222222</v>
      </c>
      <c r="E63" s="334" t="s">
        <v>495</v>
      </c>
      <c r="F63" s="336" t="s">
        <v>495</v>
      </c>
      <c r="G63" s="337" t="s">
        <v>990</v>
      </c>
    </row>
    <row r="67" spans="1:1">
      <c r="A67" s="2"/>
    </row>
    <row r="68" spans="1:1">
      <c r="A68" s="2"/>
    </row>
    <row r="69" spans="1:1">
      <c r="A69" s="2"/>
    </row>
    <row r="70" spans="1:1">
      <c r="A70" s="2"/>
    </row>
    <row r="71" spans="1:1">
      <c r="A71" s="2"/>
    </row>
    <row r="72" spans="1:1">
      <c r="A72" s="2"/>
    </row>
    <row r="73" spans="1:1">
      <c r="A73" s="2"/>
    </row>
    <row r="74" spans="1:1">
      <c r="A74" s="2"/>
    </row>
    <row r="75" spans="1:1">
      <c r="A75" s="2"/>
    </row>
    <row r="76" spans="1:1">
      <c r="A76" s="2"/>
    </row>
  </sheetData>
  <sheetProtection algorithmName="SHA-512" hashValue="U7W3vD/nX2PWd3zfoQ5nVUEvxuxwfGVcfHaue7IG8dZ360gIzGy8xXVtsy4iIlGBFKiBKlRSenzdo7XN235J7w==" saltValue="zwwI3zj2CCNGAuJXVx64xA==" spinCount="100000" sheet="1" objects="1" scenarios="1" selectLockedCells="1"/>
  <mergeCells count="5">
    <mergeCell ref="A37:A38"/>
    <mergeCell ref="B37:B38"/>
    <mergeCell ref="C37:E37"/>
    <mergeCell ref="F37:F38"/>
    <mergeCell ref="G37:G38"/>
  </mergeCells>
  <pageMargins left="0.7" right="0.7" top="0.75" bottom="0.75" header="0.3" footer="0.3"/>
  <tableParts count="2">
    <tablePart r:id="rId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pageSetUpPr fitToPage="1"/>
  </sheetPr>
  <dimension ref="A3:L81"/>
  <sheetViews>
    <sheetView showGridLines="0" zoomScale="80" zoomScaleNormal="80" workbookViewId="0">
      <selection activeCell="B3" sqref="B3"/>
    </sheetView>
  </sheetViews>
  <sheetFormatPr defaultColWidth="31" defaultRowHeight="13.15"/>
  <cols>
    <col min="1" max="1" width="5.7109375" style="204" customWidth="1"/>
    <col min="2" max="2" width="43.28515625" style="204" customWidth="1"/>
    <col min="3" max="3" width="31.28515625" style="204" customWidth="1"/>
    <col min="4" max="4" width="34.7109375" style="204" customWidth="1"/>
    <col min="5" max="5" width="30.7109375" style="204" customWidth="1"/>
    <col min="6" max="6" width="18.7109375" style="204" customWidth="1"/>
    <col min="7" max="7" width="26" style="204" customWidth="1"/>
    <col min="8" max="9" width="23.28515625" style="204" customWidth="1"/>
    <col min="10" max="10" width="23.28515625" style="205" customWidth="1"/>
    <col min="11" max="11" width="48.5703125" style="204" bestFit="1" customWidth="1"/>
    <col min="12" max="16384" width="31" style="204"/>
  </cols>
  <sheetData>
    <row r="3" spans="2:8" s="207" customFormat="1" ht="33.75" customHeight="1">
      <c r="B3" s="206" t="s">
        <v>991</v>
      </c>
      <c r="C3" s="206"/>
      <c r="D3" s="206"/>
      <c r="E3" s="206"/>
      <c r="F3" s="206"/>
      <c r="G3" s="206"/>
      <c r="H3" s="206"/>
    </row>
    <row r="5" spans="2:8" ht="15.6">
      <c r="B5" s="208" t="s">
        <v>992</v>
      </c>
      <c r="C5" s="208"/>
      <c r="D5" s="208"/>
      <c r="E5" s="208"/>
      <c r="F5" s="208"/>
      <c r="G5" s="208"/>
      <c r="H5" s="208"/>
    </row>
    <row r="7" spans="2:8" ht="30" customHeight="1">
      <c r="B7" s="209" t="s">
        <v>714</v>
      </c>
      <c r="C7" s="210"/>
      <c r="D7" s="210"/>
      <c r="G7" s="209" t="s">
        <v>993</v>
      </c>
      <c r="H7" s="209" t="s">
        <v>994</v>
      </c>
    </row>
    <row r="8" spans="2:8" ht="30" customHeight="1">
      <c r="B8" s="209" t="s">
        <v>641</v>
      </c>
      <c r="C8" s="446"/>
      <c r="D8" s="447"/>
      <c r="G8" s="209" t="s">
        <v>995</v>
      </c>
      <c r="H8" s="211"/>
    </row>
    <row r="9" spans="2:8" ht="30" customHeight="1">
      <c r="B9" s="209" t="s">
        <v>996</v>
      </c>
      <c r="C9" s="446"/>
      <c r="D9" s="447"/>
      <c r="G9" s="209" t="s">
        <v>997</v>
      </c>
      <c r="H9" s="259">
        <f>DATE(YEAR(H8)+1,MONTH(H8),DAY(H8)-1)</f>
        <v>365</v>
      </c>
    </row>
    <row r="10" spans="2:8" ht="30" customHeight="1">
      <c r="B10" s="209" t="s">
        <v>998</v>
      </c>
      <c r="C10" s="446"/>
      <c r="D10" s="447"/>
      <c r="F10" s="212"/>
      <c r="G10" s="209" t="s">
        <v>999</v>
      </c>
      <c r="H10" s="260">
        <f>YEAR(H9)</f>
        <v>1900</v>
      </c>
    </row>
    <row r="11" spans="2:8" ht="30" customHeight="1">
      <c r="B11" s="209" t="s">
        <v>1000</v>
      </c>
      <c r="C11" s="446"/>
      <c r="D11" s="447"/>
    </row>
    <row r="12" spans="2:8" ht="30" customHeight="1">
      <c r="B12" s="209" t="s">
        <v>1001</v>
      </c>
      <c r="C12" s="446"/>
      <c r="D12" s="447"/>
      <c r="G12" s="213" t="s">
        <v>1002</v>
      </c>
      <c r="H12" s="214"/>
    </row>
    <row r="13" spans="2:8">
      <c r="B13" s="215"/>
      <c r="C13" s="215"/>
      <c r="D13" s="216"/>
    </row>
    <row r="15" spans="2:8" ht="15.6">
      <c r="B15" s="208" t="s">
        <v>1003</v>
      </c>
      <c r="C15" s="208"/>
      <c r="D15" s="208"/>
      <c r="E15" s="208"/>
      <c r="F15" s="208"/>
      <c r="G15" s="208"/>
      <c r="H15" s="208"/>
    </row>
    <row r="17" spans="2:5" ht="42.75" customHeight="1">
      <c r="B17" s="217" t="s">
        <v>1004</v>
      </c>
      <c r="C17" s="217" t="s">
        <v>1005</v>
      </c>
      <c r="D17" s="218" t="s">
        <v>1006</v>
      </c>
      <c r="E17" s="210"/>
    </row>
    <row r="18" spans="2:5" ht="42.75" customHeight="1">
      <c r="B18" s="219" t="s">
        <v>1007</v>
      </c>
      <c r="C18" s="220" t="s">
        <v>1008</v>
      </c>
      <c r="D18" s="221">
        <f>IF('15A NABERS Energy Simple'!D41="", '15A NABERS Energy Detailed'!D48, '15A NABERS Energy Simple'!D41)/1000</f>
        <v>0</v>
      </c>
      <c r="E18" s="222"/>
    </row>
    <row r="20" spans="2:5" ht="27.75" customHeight="1">
      <c r="B20" s="443" t="s">
        <v>336</v>
      </c>
      <c r="C20" s="444"/>
      <c r="D20" s="223" t="e">
        <f>E31</f>
        <v>#N/A</v>
      </c>
    </row>
    <row r="21" spans="2:5" ht="27.75" customHeight="1">
      <c r="B21" s="443" t="s">
        <v>258</v>
      </c>
      <c r="C21" s="444"/>
      <c r="D21" s="223">
        <f>C40</f>
        <v>0</v>
      </c>
    </row>
    <row r="23" spans="2:5" ht="30" customHeight="1">
      <c r="B23" s="445" t="s">
        <v>236</v>
      </c>
      <c r="C23" s="445"/>
      <c r="D23" s="223" t="e">
        <f>D18+D20-D21</f>
        <v>#N/A</v>
      </c>
    </row>
    <row r="24" spans="2:5" ht="30" customHeight="1">
      <c r="B24" s="224"/>
      <c r="C24" s="224"/>
      <c r="D24" s="225"/>
    </row>
    <row r="25" spans="2:5" ht="35.1" customHeight="1">
      <c r="B25" s="209" t="s">
        <v>348</v>
      </c>
      <c r="C25" s="218" t="s">
        <v>350</v>
      </c>
      <c r="D25" s="218" t="s">
        <v>352</v>
      </c>
      <c r="E25" s="218" t="s">
        <v>360</v>
      </c>
    </row>
    <row r="26" spans="2:5" ht="14.45">
      <c r="B26" s="229"/>
      <c r="C26" s="230"/>
      <c r="D26" s="231">
        <f>C26*3.6</f>
        <v>0</v>
      </c>
      <c r="E26" s="231" t="e">
        <f>D26*(((VLOOKUP($C$12, $B$72:$D$81, 3, FALSE))/1000))</f>
        <v>#N/A</v>
      </c>
    </row>
    <row r="27" spans="2:5" ht="13.9">
      <c r="B27" s="233"/>
      <c r="C27" s="234"/>
      <c r="D27" s="231">
        <f t="shared" ref="D27:D30" si="0">C27*3.6</f>
        <v>0</v>
      </c>
      <c r="E27" s="231" t="e">
        <f>D27*(((VLOOKUP($C$12, $B$72:$D$81, 3, FALSE))/1000))</f>
        <v>#N/A</v>
      </c>
    </row>
    <row r="28" spans="2:5" ht="13.9">
      <c r="B28" s="233"/>
      <c r="C28" s="234"/>
      <c r="D28" s="231">
        <f t="shared" si="0"/>
        <v>0</v>
      </c>
      <c r="E28" s="231" t="e">
        <f>D28*(((VLOOKUP($C$12, $B$72:$D$81, 3, FALSE))/1000))</f>
        <v>#N/A</v>
      </c>
    </row>
    <row r="29" spans="2:5" ht="13.9">
      <c r="B29" s="233"/>
      <c r="C29" s="234"/>
      <c r="D29" s="231">
        <f t="shared" si="0"/>
        <v>0</v>
      </c>
      <c r="E29" s="231" t="e">
        <f>D29*(((VLOOKUP($C$12, $B$72:$D$81, 3, FALSE))/1000))</f>
        <v>#N/A</v>
      </c>
    </row>
    <row r="30" spans="2:5" ht="13.9">
      <c r="B30" s="236"/>
      <c r="C30" s="237"/>
      <c r="D30" s="231">
        <f t="shared" si="0"/>
        <v>0</v>
      </c>
      <c r="E30" s="231" t="e">
        <f>D30*(((VLOOKUP($C$12, $B$72:$D$81, 3, FALSE))/1000))</f>
        <v>#N/A</v>
      </c>
    </row>
    <row r="31" spans="2:5" ht="13.9">
      <c r="B31" s="238" t="s">
        <v>302</v>
      </c>
      <c r="C31" s="239"/>
      <c r="D31" s="240"/>
      <c r="E31" s="241" t="e">
        <f>SUM(E26:E30)</f>
        <v>#N/A</v>
      </c>
    </row>
    <row r="34" spans="1:11" ht="13.9">
      <c r="B34" s="209" t="s">
        <v>313</v>
      </c>
      <c r="C34" s="218" t="s">
        <v>265</v>
      </c>
      <c r="D34" s="226"/>
      <c r="E34" s="226"/>
      <c r="F34" s="226"/>
      <c r="G34" s="227"/>
      <c r="H34" s="227"/>
    </row>
    <row r="35" spans="1:11" ht="172.9">
      <c r="B35" s="229" t="s">
        <v>1009</v>
      </c>
      <c r="C35" s="230"/>
      <c r="D35" s="232"/>
      <c r="E35" s="232"/>
      <c r="F35" s="232"/>
      <c r="G35" s="242"/>
      <c r="H35" s="242"/>
    </row>
    <row r="36" spans="1:11" ht="13.9">
      <c r="B36" s="233"/>
      <c r="C36" s="234"/>
      <c r="D36" s="235"/>
      <c r="E36" s="235"/>
      <c r="F36" s="235"/>
      <c r="G36" s="243"/>
      <c r="H36" s="243"/>
    </row>
    <row r="37" spans="1:11" ht="13.9">
      <c r="B37" s="233"/>
      <c r="C37" s="234"/>
      <c r="D37" s="235"/>
      <c r="E37" s="235"/>
      <c r="F37" s="235"/>
      <c r="G37" s="243"/>
      <c r="H37" s="243"/>
    </row>
    <row r="38" spans="1:11" ht="13.9">
      <c r="B38" s="233"/>
      <c r="C38" s="234"/>
      <c r="D38" s="235"/>
      <c r="E38" s="235"/>
      <c r="F38" s="235"/>
      <c r="G38" s="243"/>
      <c r="H38" s="243"/>
    </row>
    <row r="39" spans="1:11" ht="13.9">
      <c r="B39" s="236"/>
      <c r="C39" s="237"/>
      <c r="D39" s="235"/>
      <c r="E39" s="235"/>
      <c r="F39" s="235"/>
      <c r="G39" s="243"/>
      <c r="H39" s="243"/>
    </row>
    <row r="40" spans="1:11" ht="13.9">
      <c r="B40" s="244" t="s">
        <v>283</v>
      </c>
      <c r="C40" s="241">
        <f>SUM(C35:C39)</f>
        <v>0</v>
      </c>
      <c r="D40" s="235"/>
      <c r="E40" s="235"/>
      <c r="F40" s="235"/>
    </row>
    <row r="41" spans="1:11">
      <c r="B41" s="228"/>
      <c r="C41" s="228"/>
      <c r="D41" s="228"/>
      <c r="E41" s="228"/>
      <c r="F41" s="228"/>
      <c r="G41" s="228"/>
      <c r="H41" s="228"/>
      <c r="I41" s="228"/>
      <c r="J41" s="228"/>
      <c r="K41" s="228"/>
    </row>
    <row r="42" spans="1:11">
      <c r="A42" s="204" t="s">
        <v>34</v>
      </c>
      <c r="B42" s="442" t="s">
        <v>405</v>
      </c>
      <c r="C42" s="442"/>
      <c r="D42" s="442"/>
      <c r="E42" s="442"/>
      <c r="F42" s="442"/>
      <c r="G42" s="442"/>
      <c r="H42" s="442"/>
      <c r="I42" s="442"/>
      <c r="J42" s="442"/>
      <c r="K42" s="442"/>
    </row>
    <row r="43" spans="1:11" s="246" customFormat="1" ht="54" customHeight="1">
      <c r="A43" s="204" t="s">
        <v>34</v>
      </c>
      <c r="B43" s="245" t="s">
        <v>101</v>
      </c>
      <c r="C43" s="245"/>
      <c r="D43" s="245" t="s">
        <v>103</v>
      </c>
      <c r="E43" s="245" t="s">
        <v>105</v>
      </c>
      <c r="F43" s="245" t="s">
        <v>107</v>
      </c>
      <c r="G43" s="245" t="s">
        <v>1010</v>
      </c>
      <c r="H43" s="245"/>
      <c r="I43" s="245"/>
      <c r="J43" s="245" t="s">
        <v>1011</v>
      </c>
      <c r="K43" s="245" t="s">
        <v>113</v>
      </c>
    </row>
    <row r="44" spans="1:11" s="246" customFormat="1" ht="16.149999999999999">
      <c r="A44" s="204" t="s">
        <v>34</v>
      </c>
      <c r="B44" s="245"/>
      <c r="C44" s="245"/>
      <c r="D44" s="245"/>
      <c r="E44" s="245"/>
      <c r="F44" s="245"/>
      <c r="G44" s="245" t="s">
        <v>1012</v>
      </c>
      <c r="H44" s="245" t="s">
        <v>1013</v>
      </c>
      <c r="I44" s="245" t="s">
        <v>1014</v>
      </c>
      <c r="J44" s="245"/>
    </row>
    <row r="45" spans="1:11" ht="13.9">
      <c r="A45" s="204" t="s">
        <v>34</v>
      </c>
      <c r="B45" s="247" t="s">
        <v>123</v>
      </c>
      <c r="C45" s="248" t="s">
        <v>125</v>
      </c>
      <c r="D45" s="248">
        <v>77</v>
      </c>
      <c r="E45" s="247" t="s">
        <v>128</v>
      </c>
      <c r="F45" s="247" t="s">
        <v>130</v>
      </c>
      <c r="G45" s="249">
        <v>0.81</v>
      </c>
      <c r="H45" s="250">
        <v>0</v>
      </c>
      <c r="I45" s="250">
        <v>0</v>
      </c>
      <c r="J45" s="250">
        <f t="shared" ref="J45:J52" si="1">SUM(G45:I45)</f>
        <v>0.81</v>
      </c>
      <c r="K45" s="249" t="s">
        <v>1015</v>
      </c>
    </row>
    <row r="46" spans="1:11" ht="13.9">
      <c r="A46" s="204" t="s">
        <v>34</v>
      </c>
      <c r="B46" s="247" t="s">
        <v>139</v>
      </c>
      <c r="C46" s="248" t="s">
        <v>125</v>
      </c>
      <c r="D46" s="248">
        <v>77</v>
      </c>
      <c r="E46" s="247" t="s">
        <v>143</v>
      </c>
      <c r="F46" s="247" t="s">
        <v>130</v>
      </c>
      <c r="G46" s="249">
        <v>0.81</v>
      </c>
      <c r="H46" s="250">
        <v>0</v>
      </c>
      <c r="I46" s="250">
        <v>0</v>
      </c>
      <c r="J46" s="250">
        <f t="shared" si="1"/>
        <v>0.81</v>
      </c>
      <c r="K46" s="249" t="s">
        <v>1015</v>
      </c>
    </row>
    <row r="47" spans="1:11" ht="13.9">
      <c r="A47" s="204" t="s">
        <v>34</v>
      </c>
      <c r="B47" s="247" t="s">
        <v>152</v>
      </c>
      <c r="C47" s="248" t="s">
        <v>125</v>
      </c>
      <c r="D47" s="248">
        <v>78</v>
      </c>
      <c r="E47" s="247" t="s">
        <v>156</v>
      </c>
      <c r="F47" s="247" t="s">
        <v>130</v>
      </c>
      <c r="G47" s="249">
        <v>1.02</v>
      </c>
      <c r="H47" s="250">
        <v>0</v>
      </c>
      <c r="I47" s="250">
        <v>0</v>
      </c>
      <c r="J47" s="250">
        <f t="shared" si="1"/>
        <v>1.02</v>
      </c>
      <c r="K47" s="249" t="s">
        <v>1015</v>
      </c>
    </row>
    <row r="48" spans="1:11" ht="13.9">
      <c r="A48" s="204" t="s">
        <v>34</v>
      </c>
      <c r="B48" s="247" t="s">
        <v>165</v>
      </c>
      <c r="C48" s="248" t="s">
        <v>125</v>
      </c>
      <c r="D48" s="248">
        <v>79</v>
      </c>
      <c r="E48" s="247" t="s">
        <v>169</v>
      </c>
      <c r="F48" s="247" t="s">
        <v>130</v>
      </c>
      <c r="G48" s="249">
        <v>0.81</v>
      </c>
      <c r="H48" s="250">
        <v>0</v>
      </c>
      <c r="I48" s="250">
        <v>0</v>
      </c>
      <c r="J48" s="250">
        <f t="shared" si="1"/>
        <v>0.81</v>
      </c>
      <c r="K48" s="249" t="s">
        <v>1015</v>
      </c>
    </row>
    <row r="49" spans="1:12" ht="13.9">
      <c r="A49" s="204" t="s">
        <v>34</v>
      </c>
      <c r="B49" s="247" t="s">
        <v>178</v>
      </c>
      <c r="C49" s="248" t="s">
        <v>125</v>
      </c>
      <c r="D49" s="248">
        <v>80</v>
      </c>
      <c r="E49" s="247" t="s">
        <v>182</v>
      </c>
      <c r="F49" s="247" t="s">
        <v>130</v>
      </c>
      <c r="G49" s="249">
        <v>0.44</v>
      </c>
      <c r="H49" s="250">
        <v>0</v>
      </c>
      <c r="I49" s="250">
        <v>0</v>
      </c>
      <c r="J49" s="250">
        <f t="shared" si="1"/>
        <v>0.44</v>
      </c>
      <c r="K49" s="249" t="s">
        <v>1015</v>
      </c>
    </row>
    <row r="50" spans="1:12" ht="27.6">
      <c r="A50" s="204" t="s">
        <v>34</v>
      </c>
      <c r="B50" s="249" t="s">
        <v>1016</v>
      </c>
      <c r="C50" s="250" t="s">
        <v>125</v>
      </c>
      <c r="D50" s="250">
        <v>81</v>
      </c>
      <c r="E50" s="249" t="s">
        <v>195</v>
      </c>
      <c r="F50" s="249" t="s">
        <v>130</v>
      </c>
      <c r="G50" s="249">
        <v>0.69</v>
      </c>
      <c r="H50" s="250">
        <v>0</v>
      </c>
      <c r="I50" s="250">
        <v>0</v>
      </c>
      <c r="J50" s="250">
        <f t="shared" si="1"/>
        <v>0.69</v>
      </c>
      <c r="K50" s="249" t="s">
        <v>1015</v>
      </c>
    </row>
    <row r="51" spans="1:12" ht="27.6">
      <c r="A51" s="204" t="s">
        <v>34</v>
      </c>
      <c r="B51" s="249" t="s">
        <v>1017</v>
      </c>
      <c r="C51" s="250" t="s">
        <v>125</v>
      </c>
      <c r="D51" s="250"/>
      <c r="E51" s="249" t="s">
        <v>1018</v>
      </c>
      <c r="F51" s="249" t="s">
        <v>130</v>
      </c>
      <c r="G51" s="249">
        <v>0.59</v>
      </c>
      <c r="H51" s="250">
        <v>0</v>
      </c>
      <c r="I51" s="250">
        <v>0</v>
      </c>
      <c r="J51" s="250">
        <f t="shared" si="1"/>
        <v>0.59</v>
      </c>
      <c r="K51" s="249" t="s">
        <v>1015</v>
      </c>
    </row>
    <row r="52" spans="1:12" ht="41.45">
      <c r="B52" s="249" t="s">
        <v>1019</v>
      </c>
      <c r="C52" s="250" t="s">
        <v>125</v>
      </c>
      <c r="D52" s="250"/>
      <c r="E52" s="249" t="s">
        <v>1020</v>
      </c>
      <c r="F52" s="249" t="s">
        <v>130</v>
      </c>
      <c r="G52" s="249">
        <v>0.55000000000000004</v>
      </c>
      <c r="H52" s="250">
        <v>0</v>
      </c>
      <c r="I52" s="250">
        <v>0</v>
      </c>
      <c r="J52" s="250">
        <f t="shared" si="1"/>
        <v>0.55000000000000004</v>
      </c>
      <c r="K52" s="249" t="s">
        <v>1015</v>
      </c>
    </row>
    <row r="53" spans="1:12" ht="13.9">
      <c r="A53" s="204" t="s">
        <v>34</v>
      </c>
      <c r="B53" s="249" t="s">
        <v>204</v>
      </c>
      <c r="C53" s="250" t="s">
        <v>125</v>
      </c>
      <c r="D53" s="250">
        <v>83</v>
      </c>
      <c r="E53" s="249" t="s">
        <v>208</v>
      </c>
      <c r="F53" s="249" t="s">
        <v>130</v>
      </c>
      <c r="G53" s="249">
        <v>0.63</v>
      </c>
      <c r="H53" s="250">
        <v>0</v>
      </c>
      <c r="I53" s="250">
        <v>0</v>
      </c>
      <c r="J53" s="250">
        <f>SUM(G53:I53)</f>
        <v>0.63</v>
      </c>
      <c r="K53" s="249" t="s">
        <v>1015</v>
      </c>
    </row>
    <row r="54" spans="1:12" ht="13.9">
      <c r="A54" s="204" t="s">
        <v>34</v>
      </c>
      <c r="B54" s="249" t="s">
        <v>217</v>
      </c>
      <c r="C54" s="250" t="s">
        <v>125</v>
      </c>
      <c r="D54" s="250">
        <v>82</v>
      </c>
      <c r="E54" s="249" t="s">
        <v>221</v>
      </c>
      <c r="F54" s="249" t="s">
        <v>130</v>
      </c>
      <c r="G54" s="249">
        <v>0.15</v>
      </c>
      <c r="H54" s="250">
        <v>0</v>
      </c>
      <c r="I54" s="250">
        <v>0</v>
      </c>
      <c r="J54" s="250">
        <f>SUM(G54:I54)</f>
        <v>0.15</v>
      </c>
      <c r="K54" s="249" t="s">
        <v>1015</v>
      </c>
    </row>
    <row r="55" spans="1:12" ht="13.9">
      <c r="A55" s="204" t="s">
        <v>34</v>
      </c>
      <c r="B55" s="251"/>
      <c r="C55" s="252"/>
      <c r="D55" s="252"/>
      <c r="E55" s="251"/>
      <c r="F55" s="251"/>
      <c r="G55" s="251"/>
      <c r="H55" s="252"/>
      <c r="I55" s="252"/>
      <c r="J55" s="252"/>
      <c r="K55" s="251"/>
    </row>
    <row r="56" spans="1:12">
      <c r="A56" s="204" t="s">
        <v>34</v>
      </c>
      <c r="B56" s="442" t="s">
        <v>406</v>
      </c>
      <c r="C56" s="442"/>
      <c r="D56" s="442"/>
      <c r="E56" s="442"/>
      <c r="F56" s="442"/>
      <c r="G56" s="442"/>
      <c r="H56" s="442"/>
      <c r="I56" s="442"/>
      <c r="J56" s="442"/>
      <c r="K56" s="442"/>
      <c r="L56" s="253"/>
    </row>
    <row r="57" spans="1:12" ht="29.45">
      <c r="A57" s="204" t="s">
        <v>34</v>
      </c>
      <c r="B57" s="245" t="s">
        <v>101</v>
      </c>
      <c r="C57" s="245"/>
      <c r="D57" s="245" t="s">
        <v>103</v>
      </c>
      <c r="E57" s="245" t="s">
        <v>105</v>
      </c>
      <c r="F57" s="245" t="s">
        <v>107</v>
      </c>
      <c r="G57" s="245" t="s">
        <v>1010</v>
      </c>
      <c r="H57" s="245"/>
      <c r="I57" s="245"/>
      <c r="J57" s="245" t="s">
        <v>1011</v>
      </c>
      <c r="K57" s="245" t="s">
        <v>113</v>
      </c>
      <c r="L57" s="253" t="s">
        <v>113</v>
      </c>
    </row>
    <row r="58" spans="1:12" ht="16.149999999999999">
      <c r="A58" s="204" t="s">
        <v>34</v>
      </c>
      <c r="B58" s="245"/>
      <c r="C58" s="245"/>
      <c r="D58" s="245"/>
      <c r="E58" s="245"/>
      <c r="F58" s="245"/>
      <c r="G58" s="245" t="s">
        <v>1012</v>
      </c>
      <c r="H58" s="245" t="s">
        <v>1013</v>
      </c>
      <c r="I58" s="245" t="s">
        <v>1014</v>
      </c>
      <c r="J58" s="245"/>
      <c r="K58" s="245"/>
      <c r="L58" s="245"/>
    </row>
    <row r="59" spans="1:12" ht="13.9">
      <c r="A59" s="204" t="s">
        <v>34</v>
      </c>
      <c r="B59" s="247" t="s">
        <v>123</v>
      </c>
      <c r="C59" s="248" t="s">
        <v>125</v>
      </c>
      <c r="D59" s="248">
        <v>77</v>
      </c>
      <c r="E59" s="247" t="s">
        <v>128</v>
      </c>
      <c r="F59" s="247" t="s">
        <v>130</v>
      </c>
      <c r="G59" s="249">
        <v>0.82</v>
      </c>
      <c r="H59" s="250">
        <v>0</v>
      </c>
      <c r="I59" s="250">
        <v>0</v>
      </c>
      <c r="J59" s="250">
        <f t="shared" ref="J59:J66" si="2">SUM(G59:I59)</f>
        <v>0.82</v>
      </c>
      <c r="K59" s="249" t="s">
        <v>1021</v>
      </c>
      <c r="L59" s="254" t="s">
        <v>121</v>
      </c>
    </row>
    <row r="60" spans="1:12" ht="13.9">
      <c r="A60" s="204" t="s">
        <v>34</v>
      </c>
      <c r="B60" s="247" t="s">
        <v>139</v>
      </c>
      <c r="C60" s="248" t="s">
        <v>125</v>
      </c>
      <c r="D60" s="248">
        <v>77</v>
      </c>
      <c r="E60" s="247" t="s">
        <v>143</v>
      </c>
      <c r="F60" s="247" t="s">
        <v>130</v>
      </c>
      <c r="G60" s="249">
        <v>0.82</v>
      </c>
      <c r="H60" s="250">
        <v>0</v>
      </c>
      <c r="I60" s="250">
        <v>0</v>
      </c>
      <c r="J60" s="250">
        <f t="shared" si="2"/>
        <v>0.82</v>
      </c>
      <c r="K60" s="249" t="s">
        <v>1021</v>
      </c>
      <c r="L60" s="254" t="s">
        <v>137</v>
      </c>
    </row>
    <row r="61" spans="1:12" ht="13.9">
      <c r="A61" s="204" t="s">
        <v>34</v>
      </c>
      <c r="B61" s="247" t="s">
        <v>152</v>
      </c>
      <c r="C61" s="248" t="s">
        <v>125</v>
      </c>
      <c r="D61" s="248">
        <v>78</v>
      </c>
      <c r="E61" s="247" t="s">
        <v>156</v>
      </c>
      <c r="F61" s="247" t="s">
        <v>130</v>
      </c>
      <c r="G61" s="249">
        <v>1.07</v>
      </c>
      <c r="H61" s="250">
        <v>0</v>
      </c>
      <c r="I61" s="250">
        <v>0</v>
      </c>
      <c r="J61" s="250">
        <f t="shared" si="2"/>
        <v>1.07</v>
      </c>
      <c r="K61" s="249" t="s">
        <v>1021</v>
      </c>
      <c r="L61" s="254" t="s">
        <v>137</v>
      </c>
    </row>
    <row r="62" spans="1:12" ht="13.9">
      <c r="A62" s="204" t="s">
        <v>34</v>
      </c>
      <c r="B62" s="247" t="s">
        <v>165</v>
      </c>
      <c r="C62" s="248" t="s">
        <v>125</v>
      </c>
      <c r="D62" s="248">
        <v>79</v>
      </c>
      <c r="E62" s="247" t="s">
        <v>169</v>
      </c>
      <c r="F62" s="247" t="s">
        <v>130</v>
      </c>
      <c r="G62" s="249">
        <v>0.8</v>
      </c>
      <c r="H62" s="250">
        <v>0</v>
      </c>
      <c r="I62" s="250">
        <v>0</v>
      </c>
      <c r="J62" s="250">
        <f t="shared" si="2"/>
        <v>0.8</v>
      </c>
      <c r="K62" s="249" t="s">
        <v>1021</v>
      </c>
      <c r="L62" s="254" t="s">
        <v>137</v>
      </c>
    </row>
    <row r="63" spans="1:12" ht="13.9">
      <c r="A63" s="204" t="s">
        <v>34</v>
      </c>
      <c r="B63" s="247" t="s">
        <v>178</v>
      </c>
      <c r="C63" s="248" t="s">
        <v>125</v>
      </c>
      <c r="D63" s="248">
        <v>80</v>
      </c>
      <c r="E63" s="247" t="s">
        <v>182</v>
      </c>
      <c r="F63" s="247" t="s">
        <v>130</v>
      </c>
      <c r="G63" s="249">
        <v>0.51</v>
      </c>
      <c r="H63" s="250">
        <v>0</v>
      </c>
      <c r="I63" s="250">
        <v>0</v>
      </c>
      <c r="J63" s="250">
        <f t="shared" si="2"/>
        <v>0.51</v>
      </c>
      <c r="K63" s="249" t="s">
        <v>1021</v>
      </c>
      <c r="L63" s="254" t="s">
        <v>137</v>
      </c>
    </row>
    <row r="64" spans="1:12" ht="27.6">
      <c r="A64" s="204" t="s">
        <v>34</v>
      </c>
      <c r="B64" s="249" t="s">
        <v>1016</v>
      </c>
      <c r="C64" s="250" t="s">
        <v>125</v>
      </c>
      <c r="D64" s="250">
        <v>81</v>
      </c>
      <c r="E64" s="249" t="s">
        <v>195</v>
      </c>
      <c r="F64" s="249" t="s">
        <v>130</v>
      </c>
      <c r="G64" s="249">
        <v>0.7</v>
      </c>
      <c r="H64" s="250">
        <v>0</v>
      </c>
      <c r="I64" s="250">
        <v>0</v>
      </c>
      <c r="J64" s="250">
        <f t="shared" si="2"/>
        <v>0.7</v>
      </c>
      <c r="K64" s="249" t="s">
        <v>1021</v>
      </c>
      <c r="L64" s="254" t="s">
        <v>137</v>
      </c>
    </row>
    <row r="65" spans="1:12" ht="27.6">
      <c r="A65" s="204" t="s">
        <v>34</v>
      </c>
      <c r="B65" s="249" t="s">
        <v>1017</v>
      </c>
      <c r="C65" s="250"/>
      <c r="D65" s="250"/>
      <c r="E65" s="249" t="s">
        <v>1018</v>
      </c>
      <c r="F65" s="249"/>
      <c r="G65" s="249">
        <v>0.6</v>
      </c>
      <c r="H65" s="250">
        <v>0</v>
      </c>
      <c r="I65" s="250">
        <v>0</v>
      </c>
      <c r="J65" s="250">
        <f t="shared" si="2"/>
        <v>0.6</v>
      </c>
      <c r="K65" s="249" t="s">
        <v>1021</v>
      </c>
      <c r="L65" s="254" t="s">
        <v>137</v>
      </c>
    </row>
    <row r="66" spans="1:12" ht="41.45">
      <c r="A66" s="204" t="s">
        <v>34</v>
      </c>
      <c r="B66" s="249" t="s">
        <v>1019</v>
      </c>
      <c r="C66" s="250"/>
      <c r="D66" s="250"/>
      <c r="E66" s="249" t="s">
        <v>1020</v>
      </c>
      <c r="F66" s="249"/>
      <c r="G66" s="249">
        <v>0.56000000000000005</v>
      </c>
      <c r="H66" s="250">
        <v>0</v>
      </c>
      <c r="I66" s="250">
        <v>0</v>
      </c>
      <c r="J66" s="250">
        <f t="shared" si="2"/>
        <v>0.56000000000000005</v>
      </c>
      <c r="K66" s="249" t="s">
        <v>1021</v>
      </c>
      <c r="L66" s="254" t="s">
        <v>137</v>
      </c>
    </row>
    <row r="67" spans="1:12" ht="13.9">
      <c r="A67" s="204" t="s">
        <v>34</v>
      </c>
      <c r="B67" s="249" t="s">
        <v>204</v>
      </c>
      <c r="C67" s="250" t="s">
        <v>125</v>
      </c>
      <c r="D67" s="250">
        <v>83</v>
      </c>
      <c r="E67" s="249" t="s">
        <v>208</v>
      </c>
      <c r="F67" s="249" t="s">
        <v>130</v>
      </c>
      <c r="G67" s="249">
        <v>0.64</v>
      </c>
      <c r="H67" s="250">
        <v>0</v>
      </c>
      <c r="I67" s="250">
        <v>0</v>
      </c>
      <c r="J67" s="250">
        <f>SUM(G67:I67)</f>
        <v>0.64</v>
      </c>
      <c r="K67" s="249" t="s">
        <v>1021</v>
      </c>
      <c r="L67" s="254" t="s">
        <v>137</v>
      </c>
    </row>
    <row r="68" spans="1:12" ht="13.9">
      <c r="A68" s="204" t="s">
        <v>34</v>
      </c>
      <c r="B68" s="249" t="s">
        <v>217</v>
      </c>
      <c r="C68" s="250" t="s">
        <v>125</v>
      </c>
      <c r="D68" s="250">
        <v>82</v>
      </c>
      <c r="E68" s="249" t="s">
        <v>221</v>
      </c>
      <c r="F68" s="249" t="s">
        <v>130</v>
      </c>
      <c r="G68" s="249">
        <v>0.19</v>
      </c>
      <c r="H68" s="250">
        <v>0</v>
      </c>
      <c r="I68" s="250">
        <v>0</v>
      </c>
      <c r="J68" s="250">
        <f>SUM(G68:I68)</f>
        <v>0.19</v>
      </c>
      <c r="K68" s="249" t="s">
        <v>1021</v>
      </c>
    </row>
    <row r="69" spans="1:12" ht="20.100000000000001" customHeight="1">
      <c r="A69" s="204" t="s">
        <v>34</v>
      </c>
      <c r="G69" s="255"/>
      <c r="H69" s="256"/>
      <c r="I69" s="256"/>
      <c r="J69" s="256"/>
    </row>
    <row r="70" spans="1:12" ht="29.45">
      <c r="A70" s="204" t="s">
        <v>34</v>
      </c>
      <c r="B70" s="245" t="s">
        <v>101</v>
      </c>
      <c r="C70" s="245"/>
      <c r="D70" s="245" t="s">
        <v>1011</v>
      </c>
      <c r="E70" s="228"/>
      <c r="F70" s="228"/>
      <c r="G70" s="228"/>
      <c r="H70" s="228"/>
      <c r="I70" s="228"/>
      <c r="J70" s="204"/>
      <c r="K70" s="228"/>
    </row>
    <row r="71" spans="1:12" ht="20.100000000000001" customHeight="1">
      <c r="A71" s="204" t="s">
        <v>34</v>
      </c>
      <c r="B71" s="245"/>
      <c r="C71" s="245"/>
      <c r="D71" s="257"/>
      <c r="E71" s="228"/>
      <c r="F71" s="228"/>
      <c r="G71" s="228"/>
      <c r="H71" s="228"/>
      <c r="I71" s="228"/>
      <c r="J71" s="204"/>
    </row>
    <row r="72" spans="1:12" ht="13.9">
      <c r="A72" s="204" t="s">
        <v>34</v>
      </c>
      <c r="B72" s="247" t="s">
        <v>123</v>
      </c>
      <c r="C72" s="248" t="s">
        <v>125</v>
      </c>
      <c r="D72" s="250">
        <f t="shared" ref="D72:D81" si="3">IF($H$10=2018, J59, J45)</f>
        <v>0.81</v>
      </c>
      <c r="E72" s="258"/>
      <c r="F72" s="258"/>
      <c r="G72" s="255"/>
      <c r="H72" s="256"/>
      <c r="I72" s="256"/>
      <c r="J72" s="204"/>
      <c r="K72" s="255"/>
    </row>
    <row r="73" spans="1:12" ht="13.9">
      <c r="A73" s="204" t="s">
        <v>34</v>
      </c>
      <c r="B73" s="247" t="s">
        <v>139</v>
      </c>
      <c r="C73" s="248" t="s">
        <v>125</v>
      </c>
      <c r="D73" s="250">
        <f t="shared" si="3"/>
        <v>0.81</v>
      </c>
      <c r="E73" s="258"/>
      <c r="F73" s="258"/>
      <c r="G73" s="255"/>
      <c r="H73" s="256"/>
      <c r="I73" s="256"/>
      <c r="J73" s="204"/>
      <c r="K73" s="255"/>
    </row>
    <row r="74" spans="1:12" ht="13.9">
      <c r="A74" s="204" t="s">
        <v>34</v>
      </c>
      <c r="B74" s="247" t="s">
        <v>152</v>
      </c>
      <c r="C74" s="248" t="s">
        <v>125</v>
      </c>
      <c r="D74" s="250">
        <f t="shared" si="3"/>
        <v>1.02</v>
      </c>
      <c r="E74" s="258"/>
      <c r="F74" s="258"/>
      <c r="G74" s="255"/>
      <c r="H74" s="256"/>
      <c r="I74" s="256"/>
      <c r="J74" s="204"/>
      <c r="K74" s="255"/>
    </row>
    <row r="75" spans="1:12" ht="13.9">
      <c r="A75" s="204" t="s">
        <v>34</v>
      </c>
      <c r="B75" s="247" t="s">
        <v>165</v>
      </c>
      <c r="C75" s="248" t="s">
        <v>125</v>
      </c>
      <c r="D75" s="250">
        <f t="shared" si="3"/>
        <v>0.81</v>
      </c>
      <c r="E75" s="258"/>
      <c r="F75" s="258"/>
      <c r="G75" s="255"/>
      <c r="H75" s="256"/>
      <c r="I75" s="256"/>
      <c r="J75" s="204"/>
      <c r="K75" s="255"/>
    </row>
    <row r="76" spans="1:12" ht="13.9">
      <c r="A76" s="204" t="s">
        <v>34</v>
      </c>
      <c r="B76" s="247" t="s">
        <v>178</v>
      </c>
      <c r="C76" s="248" t="s">
        <v>125</v>
      </c>
      <c r="D76" s="250">
        <f t="shared" si="3"/>
        <v>0.44</v>
      </c>
      <c r="E76" s="258"/>
      <c r="F76" s="258"/>
      <c r="G76" s="255"/>
      <c r="H76" s="256"/>
      <c r="I76" s="256"/>
      <c r="J76" s="204"/>
      <c r="K76" s="255"/>
    </row>
    <row r="77" spans="1:12" ht="27.6">
      <c r="A77" s="204" t="s">
        <v>34</v>
      </c>
      <c r="B77" s="249" t="s">
        <v>1016</v>
      </c>
      <c r="C77" s="250" t="s">
        <v>125</v>
      </c>
      <c r="D77" s="250">
        <f t="shared" si="3"/>
        <v>0.69</v>
      </c>
      <c r="E77" s="255"/>
      <c r="F77" s="255"/>
      <c r="G77" s="255"/>
      <c r="H77" s="256"/>
      <c r="I77" s="256"/>
      <c r="J77" s="204"/>
      <c r="K77" s="255"/>
    </row>
    <row r="78" spans="1:12" ht="27.6">
      <c r="A78" s="204" t="s">
        <v>34</v>
      </c>
      <c r="B78" s="249" t="s">
        <v>1017</v>
      </c>
      <c r="C78" s="250"/>
      <c r="D78" s="250">
        <f t="shared" si="3"/>
        <v>0.59</v>
      </c>
      <c r="E78" s="255"/>
      <c r="F78" s="255"/>
      <c r="G78" s="255"/>
      <c r="H78" s="256"/>
      <c r="I78" s="256"/>
      <c r="J78" s="204"/>
      <c r="K78" s="255"/>
    </row>
    <row r="79" spans="1:12" ht="27.6">
      <c r="A79" s="204" t="s">
        <v>34</v>
      </c>
      <c r="B79" s="249" t="s">
        <v>1019</v>
      </c>
      <c r="C79" s="250"/>
      <c r="D79" s="250">
        <f t="shared" si="3"/>
        <v>0.55000000000000004</v>
      </c>
      <c r="E79" s="255"/>
      <c r="F79" s="255"/>
      <c r="G79" s="255"/>
      <c r="H79" s="256"/>
      <c r="I79" s="256"/>
      <c r="J79" s="204"/>
      <c r="K79" s="255"/>
    </row>
    <row r="80" spans="1:12" ht="13.9">
      <c r="A80" s="204" t="s">
        <v>34</v>
      </c>
      <c r="B80" s="249" t="s">
        <v>204</v>
      </c>
      <c r="C80" s="250" t="s">
        <v>125</v>
      </c>
      <c r="D80" s="250">
        <f t="shared" si="3"/>
        <v>0.63</v>
      </c>
      <c r="E80" s="255"/>
      <c r="F80" s="255"/>
      <c r="G80" s="255"/>
      <c r="H80" s="256"/>
      <c r="I80" s="256"/>
      <c r="J80" s="204"/>
      <c r="K80" s="255"/>
    </row>
    <row r="81" spans="1:11" ht="13.9">
      <c r="A81" s="204" t="s">
        <v>34</v>
      </c>
      <c r="B81" s="249" t="s">
        <v>217</v>
      </c>
      <c r="C81" s="250" t="s">
        <v>125</v>
      </c>
      <c r="D81" s="250">
        <f t="shared" si="3"/>
        <v>0.15</v>
      </c>
      <c r="E81" s="255"/>
      <c r="F81" s="255"/>
      <c r="G81" s="255"/>
      <c r="H81" s="256"/>
      <c r="I81" s="256"/>
      <c r="J81" s="204"/>
      <c r="K81" s="255"/>
    </row>
  </sheetData>
  <customSheetViews>
    <customSheetView guid="{8B2770CE-D161-47F0-859F-125AE657BDD5}" showGridLines="0" fitToPage="1" hiddenRows="1" hiddenColumns="1">
      <selection activeCell="B8" sqref="B8"/>
      <pageMargins left="0" right="0" top="0" bottom="0" header="0" footer="0"/>
      <pageSetup paperSize="9" scale="20" orientation="portrait" r:id="rId1"/>
    </customSheetView>
    <customSheetView guid="{693EBD7D-AE81-4642-BB20-D90B339CE02F}" scale="60" fitToPage="1" hiddenRows="1" hiddenColumns="1">
      <selection activeCell="C9" sqref="C9:D9"/>
      <pageMargins left="0" right="0" top="0" bottom="0" header="0" footer="0"/>
      <pageSetup paperSize="9" scale="20" orientation="portrait" r:id="rId2"/>
    </customSheetView>
    <customSheetView guid="{E06C82F7-4BAD-4D00-99B9-78356C6407C1}" scale="80" showGridLines="0" fitToPage="1" hiddenColumns="1">
      <selection activeCell="I29" sqref="I29"/>
      <pageMargins left="0" right="0" top="0" bottom="0" header="0" footer="0"/>
      <pageSetup paperSize="9" scale="20" orientation="portrait" r:id="rId3"/>
    </customSheetView>
    <customSheetView guid="{F1CAFB27-0D4C-4982-A367-458EC793250D}" scale="80" showGridLines="0" fitToPage="1" hiddenRows="1" hiddenColumns="1" topLeftCell="A9">
      <selection activeCell="D24" sqref="D24"/>
      <pageMargins left="0" right="0" top="0" bottom="0" header="0" footer="0"/>
      <pageSetup paperSize="9" scale="20" orientation="portrait" r:id="rId4"/>
    </customSheetView>
    <customSheetView guid="{0AA775FA-F8A9-4D24-AA12-2EE4A0C4B54A}" scale="60" fitToPage="1" hiddenColumns="1" topLeftCell="A46">
      <selection activeCell="D81" sqref="D81"/>
      <pageMargins left="0" right="0" top="0" bottom="0" header="0" footer="0"/>
      <pageSetup paperSize="9" scale="20" orientation="portrait" r:id="rId5"/>
    </customSheetView>
  </customSheetViews>
  <mergeCells count="10">
    <mergeCell ref="B42:K42"/>
    <mergeCell ref="B56:K56"/>
    <mergeCell ref="B20:C20"/>
    <mergeCell ref="B23:C23"/>
    <mergeCell ref="C8:D8"/>
    <mergeCell ref="C9:D9"/>
    <mergeCell ref="C10:D10"/>
    <mergeCell ref="C11:D11"/>
    <mergeCell ref="C12:D12"/>
    <mergeCell ref="B21:C21"/>
  </mergeCells>
  <phoneticPr fontId="105" type="noConversion"/>
  <dataValidations disablePrompts="1" count="1">
    <dataValidation type="list" allowBlank="1" showInputMessage="1" showErrorMessage="1" sqref="C12:D12" xr:uid="{00000000-0002-0000-0600-000000000000}">
      <formula1>$B$45:$B$54</formula1>
    </dataValidation>
  </dataValidations>
  <pageMargins left="0.70866141732283472" right="0.70866141732283472" top="0.74803149606299213" bottom="0.74803149606299213" header="0.31496062992125984" footer="0.31496062992125984"/>
  <pageSetup paperSize="9" scale="20" orientation="portrait" r:id="rId6"/>
  <drawing r:id="rId7"/>
  <legacyDrawingHF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0932C26CB86C4FA791782EC11F994E" ma:contentTypeVersion="18" ma:contentTypeDescription="Create a new document." ma:contentTypeScope="" ma:versionID="33abb06324423268274ce3caed605660">
  <xsd:schema xmlns:xsd="http://www.w3.org/2001/XMLSchema" xmlns:xs="http://www.w3.org/2001/XMLSchema" xmlns:p="http://schemas.microsoft.com/office/2006/metadata/properties" xmlns:ns2="e5dafe5f-4921-4e90-b291-d7c9f1978744" xmlns:ns3="52985c86-f8c2-4ffb-9ed4-056f10e7bf99" targetNamespace="http://schemas.microsoft.com/office/2006/metadata/properties" ma:root="true" ma:fieldsID="f4e50b120650974b067b3eec9067944c" ns2:_="" ns3:_="">
    <xsd:import namespace="e5dafe5f-4921-4e90-b291-d7c9f1978744"/>
    <xsd:import namespace="52985c86-f8c2-4ffb-9ed4-056f10e7bf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afe5f-4921-4e90-b291-d7c9f1978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f39ea20-3bab-4327-8f6b-3db4142d071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985c86-f8c2-4ffb-9ed4-056f10e7bf9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71b23a-5fce-4da9-9150-57ae8890a66e}" ma:internalName="TaxCatchAll" ma:showField="CatchAllData" ma:web="52985c86-f8c2-4ffb-9ed4-056f10e7bf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2985c86-f8c2-4ffb-9ed4-056f10e7bf99" xsi:nil="true"/>
    <lcf76f155ced4ddcb4097134ff3c332f xmlns="e5dafe5f-4921-4e90-b291-d7c9f19787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08A63EE-AA0B-4485-BA70-A243697E0BD3}"/>
</file>

<file path=customXml/itemProps2.xml><?xml version="1.0" encoding="utf-8"?>
<ds:datastoreItem xmlns:ds="http://schemas.openxmlformats.org/officeDocument/2006/customXml" ds:itemID="{5F398E10-2A2F-4A03-9BD5-6942FD84C6E5}"/>
</file>

<file path=customXml/itemProps3.xml><?xml version="1.0" encoding="utf-8"?>
<ds:datastoreItem xmlns:ds="http://schemas.openxmlformats.org/officeDocument/2006/customXml" ds:itemID="{EA504D79-77C0-4C38-B2FB-E7939DCE2E7E}"/>
</file>

<file path=docProps/app.xml><?xml version="1.0" encoding="utf-8"?>
<Properties xmlns="http://schemas.openxmlformats.org/officeDocument/2006/extended-properties" xmlns:vt="http://schemas.openxmlformats.org/officeDocument/2006/docPropsVTypes">
  <Application>Microsoft Excel Online</Application>
  <Manager/>
  <Company>Energetics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jmanning</dc:creator>
  <cp:keywords/>
  <dc:description/>
  <cp:lastModifiedBy/>
  <cp:revision/>
  <dcterms:created xsi:type="dcterms:W3CDTF">2010-07-14T08:44:28Z</dcterms:created>
  <dcterms:modified xsi:type="dcterms:W3CDTF">2025-04-09T03:45:57Z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0x010100D4C776EABB4D4A48BBB83A53129C9F51</vt:lpwstr>
  </property>
  <property fmtid="{D5CDD505-2E9C-101B-9397-08002B2CF9AE}" pid="3" name="Order">
    <vt:r8>12600</vt:r8>
  </property>
  <property fmtid="{D5CDD505-2E9C-101B-9397-08002B2CF9AE}" pid="4" name="MediaServiceImageTags">
    <vt:lpwstr/>
  </property>
</Properties>
</file>