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1.xml" ContentType="application/vnd.openxmlformats-officedocument.spreadsheetml.comments+xml"/>
  <Override PartName="/xl/drawings/drawing7.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omments2.xml" ContentType="application/vnd.openxmlformats-officedocument.spreadsheetml.comments+xml"/>
  <Override PartName="/xl/drawings/drawing8.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omments3.xml" ContentType="application/vnd.openxmlformats-officedocument.spreadsheetml.comments+xml"/>
  <Override PartName="/xl/drawings/drawing9.xml" ContentType="application/vnd.openxmlformats-officedocument.drawing+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5"/>
  <workbookPr codeName="ThisWorkbook"/>
  <mc:AlternateContent xmlns:mc="http://schemas.openxmlformats.org/markup-compatibility/2006">
    <mc:Choice Requires="x15">
      <x15ac:absPath xmlns:x15ac="http://schemas.microsoft.com/office/spreadsheetml/2010/11/ac" url="https://nzgbc.sharepoint.com/sites/GreenStarTeamSite/DAB/Shared Documents/01_Design_&amp;_As-Built_Tech/02 Tool Review &amp; Development/v1.1/03_Tool Resources/06 Scorecard/"/>
    </mc:Choice>
  </mc:AlternateContent>
  <xr:revisionPtr revIDLastSave="0" documentId="8_{0A683049-C2EC-4C41-9B24-9475A75150CB}" xr6:coauthVersionLast="47" xr6:coauthVersionMax="47" xr10:uidLastSave="{00000000-0000-0000-0000-000000000000}"/>
  <bookViews>
    <workbookView xWindow="-108" yWindow="-108" windowWidth="23256" windowHeight="12456" tabRatio="618" firstSheet="5" activeTab="5" xr2:uid="{00000000-000D-0000-FFFF-FFFF00000000}"/>
  </bookViews>
  <sheets>
    <sheet name="Disclaimer" sheetId="26" r:id="rId1"/>
    <sheet name="Change Log" sheetId="18" r:id="rId2"/>
    <sheet name="Instructions" sheetId="21" r:id="rId3"/>
    <sheet name="Building Input Sheet" sheetId="16" state="hidden" r:id="rId4"/>
    <sheet name="Building Input" sheetId="41" r:id="rId5"/>
    <sheet name="Design Scorecard" sheetId="40" r:id="rId6"/>
    <sheet name="Built Scorecard" sheetId="42" r:id="rId7"/>
    <sheet name="Submission Planner" sheetId="27" state="hidden" r:id="rId8"/>
    <sheet name="ss - As Built Scorecard" sheetId="33" state="hidden" r:id="rId9"/>
  </sheets>
  <externalReferences>
    <externalReference r:id="rId10"/>
    <externalReference r:id="rId11"/>
    <externalReference r:id="rId12"/>
    <externalReference r:id="rId13"/>
  </externalReferences>
  <definedNames>
    <definedName name="Address">[1]Inputs!$C$3</definedName>
    <definedName name="Are_Urinals_installed?" localSheetId="6">#REF!</definedName>
    <definedName name="Are_Urinals_installed?" localSheetId="5">#REF!</definedName>
    <definedName name="Are_Urinals_installed?" localSheetId="8">#REF!</definedName>
    <definedName name="Are_Urinals_installed?" localSheetId="7">#REF!</definedName>
    <definedName name="Are_Urinals_installed?">#REF!</definedName>
    <definedName name="ene1_fields" localSheetId="6">'[2]Building Input'!$C$7:$C$11,'[2]Building Input'!$C$14:$C$15,'[2]Building Input'!$C$17,'[2]Building Input'!$C$19:$C$28,'[2]Building Input'!$C$30:$C$34,'[2]Building Input'!$C$45,'[2]Building Input'!$C$47,'[2]Building Input'!#REF!</definedName>
    <definedName name="ene1_fields" localSheetId="5">'[2]Building Input'!$C$7:$C$11,'[2]Building Input'!$C$14:$C$15,'[2]Building Input'!$C$17,'[2]Building Input'!$C$19:$C$28,'[2]Building Input'!$C$30:$C$34,'[2]Building Input'!$C$45,'[2]Building Input'!$C$47,'[2]Building Input'!#REF!</definedName>
    <definedName name="ene1_fields" localSheetId="8">'[2]Building Input'!$C$7:$C$11,'[2]Building Input'!$C$14:$C$15,'[2]Building Input'!$C$17,'[2]Building Input'!$C$19:$C$28,'[2]Building Input'!$C$30:$C$34,'[2]Building Input'!$C$45,'[2]Building Input'!$C$47,'[2]Building Input'!#REF!</definedName>
    <definedName name="ene1_fields" localSheetId="7">'[2]Building Input'!$C$7:$C$11,'[2]Building Input'!$C$14:$C$15,'[2]Building Input'!$C$17,'[2]Building Input'!$C$19:$C$28,'[2]Building Input'!$C$30:$C$34,'[2]Building Input'!$C$45,'[2]Building Input'!$C$47,'[2]Building Input'!#REF!</definedName>
    <definedName name="ene1_fields">'[2]Building Input'!$C$7:$C$11,'[2]Building Input'!$C$14:$C$15,'[2]Building Input'!$C$17,'[2]Building Input'!$C$19:$C$28,'[2]Building Input'!$C$30:$C$34,'[2]Building Input'!$C$45,'[2]Building Input'!$C$47,'[2]Building Input'!#REF!</definedName>
    <definedName name="Ene1_headingsEC">'[2]Ecology Calculator'!$B$5,'[2]Ecology Calculator'!$B$7,'[2]Ecology Calculator'!$B$9:$F$10,'[2]Ecology Calculator'!$B$11:$B$31,'[2]Ecology Calculator'!$D$28:$F$31</definedName>
    <definedName name="Enecon_fields" localSheetId="6">'[2]Building Input'!$C$7:$C$11,'[2]Building Input'!$C$14:$C$15,'[2]Building Input'!$C$17,'[2]Building Input'!$C$19:$C$28,'[2]Building Input'!$C$30:$C$34,'[2]Building Input'!$C$45,'[2]Building Input'!$C$47,'[2]Building Input'!#REF!</definedName>
    <definedName name="Enecon_fields" localSheetId="5">'[2]Building Input'!$C$7:$C$11,'[2]Building Input'!$C$14:$C$15,'[2]Building Input'!$C$17,'[2]Building Input'!$C$19:$C$28,'[2]Building Input'!$C$30:$C$34,'[2]Building Input'!$C$45,'[2]Building Input'!$C$47,'[2]Building Input'!#REF!</definedName>
    <definedName name="Enecon_fields" localSheetId="8">'[2]Building Input'!$C$7:$C$11,'[2]Building Input'!$C$14:$C$15,'[2]Building Input'!$C$17,'[2]Building Input'!$C$19:$C$28,'[2]Building Input'!$C$30:$C$34,'[2]Building Input'!$C$45,'[2]Building Input'!$C$47,'[2]Building Input'!#REF!</definedName>
    <definedName name="Enecon_fields" localSheetId="7">'[2]Building Input'!$C$7:$C$11,'[2]Building Input'!$C$14:$C$15,'[2]Building Input'!$C$17,'[2]Building Input'!$C$19:$C$28,'[2]Building Input'!$C$30:$C$34,'[2]Building Input'!$C$45,'[2]Building Input'!$C$47,'[2]Building Input'!#REF!</definedName>
    <definedName name="Enecon_fields">'[2]Building Input'!$C$7:$C$11,'[2]Building Input'!$C$14:$C$15,'[2]Building Input'!$C$17,'[2]Building Input'!$C$19:$C$28,'[2]Building Input'!$C$30:$C$34,'[2]Building Input'!$C$45,'[2]Building Input'!$C$47,'[2]Building Input'!#REF!</definedName>
    <definedName name="Enecon_headingsEC">'[2]Ecology Calculator'!$B$5,'[2]Ecology Calculator'!$B$7,'[2]Ecology Calculator'!$B$9:$F$10,'[2]Ecology Calculator'!$B$11:$B$31,'[2]Ecology Calculator'!$D$28:$F$31</definedName>
    <definedName name="Fields" localSheetId="6">'[3]Building Input'!$C$9:$C$13,'[3]Building Input'!#REF!,'[3]Building Input'!#REF!,'[3]Building Input'!#REF!,'[3]Building Input'!$C$17:$C$17,'[3]Building Input'!#REF!,'[3]Building Input'!#REF!,'[3]Building Input'!#REF!</definedName>
    <definedName name="Fields" localSheetId="5">'[3]Building Input'!$C$9:$C$13,'[3]Building Input'!#REF!,'[3]Building Input'!#REF!,'[3]Building Input'!#REF!,'[3]Building Input'!$C$17:$C$17,'[3]Building Input'!#REF!,'[3]Building Input'!#REF!,'[3]Building Input'!#REF!</definedName>
    <definedName name="Fields" localSheetId="8">'[3]Building Input'!$C$9:$C$13,'[3]Building Input'!#REF!,'[3]Building Input'!#REF!,'[3]Building Input'!#REF!,'[3]Building Input'!$C$17:$C$17,'[3]Building Input'!#REF!,'[3]Building Input'!#REF!,'[3]Building Input'!#REF!</definedName>
    <definedName name="Fields" localSheetId="7">'[3]Building Input'!$C$9:$C$13,'[3]Building Input'!#REF!,'[3]Building Input'!#REF!,'[3]Building Input'!#REF!,'[3]Building Input'!$C$17:$C$17,'[3]Building Input'!#REF!,'[3]Building Input'!#REF!,'[3]Building Input'!#REF!</definedName>
    <definedName name="Fields">'[3]Building Input'!$C$9:$C$13,'[3]Building Input'!#REF!,'[3]Building Input'!#REF!,'[3]Building Input'!#REF!,'[3]Building Input'!$C$17:$C$17,'[3]Building Input'!#REF!,'[3]Building Input'!#REF!,'[3]Building Input'!#REF!</definedName>
    <definedName name="fields2">'[4]Building Input'!$C$7:$C$11,'[4]Building Input'!$C$14:$C$15,'[4]Building Input'!$C$17,'[4]Building Input'!$C$19:$C$28,'[4]Building Input'!$C$35:$C$37,'[4]Building Input'!$C$39,'[4]Building Input'!$C$41,'[4]Building Input'!$C$43:$C$44</definedName>
    <definedName name="Fields3">'[4]Building Input'!$C$7:$C$11,'[4]Building Input'!$C$14:$C$15,'[4]Building Input'!$C$17,'[4]Building Input'!$C$19:$C$28,'[4]Building Input'!$C$35:$C$37,'[4]Building Input'!$C$39,'[4]Building Input'!$C$41,'[4]Building Input'!$C$43:$C$44</definedName>
    <definedName name="Headings" localSheetId="6">#REF!,#REF!,#REF!,#REF!,#REF!</definedName>
    <definedName name="Headings" localSheetId="5">#REF!,#REF!,#REF!,#REF!,#REF!</definedName>
    <definedName name="Headings" localSheetId="8">#REF!,#REF!,#REF!,#REF!,#REF!</definedName>
    <definedName name="Headings" localSheetId="7">#REF!,#REF!,#REF!,#REF!,#REF!</definedName>
    <definedName name="Headings">#REF!,#REF!,#REF!,#REF!,#REF!</definedName>
    <definedName name="Headings2">'[4]Transport Calculator'!$B$5:$B$11,'[4]Transport Calculator'!$C$5:$D$7,'[4]Transport Calculator'!$B$14:$B$20,'[4]Transport Calculator'!$C$14:$D$16,'[4]Transport Calculator'!$C$22:$D$22</definedName>
    <definedName name="HeadingsEC" localSheetId="6">#REF!,#REF!,#REF!,#REF!,#REF!</definedName>
    <definedName name="HeadingsEC" localSheetId="5">#REF!,#REF!,#REF!,#REF!,#REF!</definedName>
    <definedName name="HeadingsEC" localSheetId="8">#REF!,#REF!,#REF!,#REF!,#REF!</definedName>
    <definedName name="HeadingsEC" localSheetId="7">#REF!,#REF!,#REF!,#REF!,#REF!</definedName>
    <definedName name="HeadingsEC">#REF!,#REF!,#REF!,#REF!,#REF!</definedName>
    <definedName name="Headingsec2">'[4]Ecology Calculator'!$B$5,'[4]Ecology Calculator'!$B$7,'[4]Ecology Calculator'!$B$9:$F$10,'[4]Ecology Calculator'!$B$11:$B$31,'[4]Ecology Calculator'!$D$28:$F$31</definedName>
    <definedName name="Labels" localSheetId="6">#REF!,#REF!</definedName>
    <definedName name="Labels" localSheetId="5">#REF!,#REF!</definedName>
    <definedName name="Labels" localSheetId="8">#REF!,#REF!</definedName>
    <definedName name="Labels" localSheetId="7">#REF!,#REF!</definedName>
    <definedName name="Labels">#REF!,#REF!</definedName>
    <definedName name="method" localSheetId="6">#REF!</definedName>
    <definedName name="method" localSheetId="5">#REF!</definedName>
    <definedName name="method" localSheetId="8">#REF!</definedName>
    <definedName name="method" localSheetId="7">#REF!</definedName>
    <definedName name="method">#REF!</definedName>
    <definedName name="Pal_Workbook_GUID" hidden="1">"NZ8LMWRV7V7KZYBEMNIRIE8E"</definedName>
    <definedName name="_xlnm.Print_Area" localSheetId="3">'Building Input Sheet'!$A$1:$C$48</definedName>
    <definedName name="_xlnm.Print_Area" localSheetId="6">'Built Scorecard'!$E$7:$K$115</definedName>
    <definedName name="_xlnm.Print_Area" localSheetId="1">'Change Log'!$A$3:$C$4</definedName>
    <definedName name="_xlnm.Print_Area" localSheetId="5">'Design Scorecard'!$E$7:$K$115</definedName>
    <definedName name="_xlnm.Print_Area" localSheetId="2">Instructions!$A$1:$F$15</definedName>
    <definedName name="_xlnm.Print_Area" localSheetId="8">'ss - As Built Scorecard'!$F$26:$J$44</definedName>
    <definedName name="_xlnm.Print_Area" localSheetId="7">'Submission Planner'!$F$26:$J$44</definedName>
    <definedName name="VITMZone">[1]Inputs!$I$5</definedName>
    <definedName name="WhiteSpace" localSheetId="6">#REF!,#REF!</definedName>
    <definedName name="WhiteSpace" localSheetId="5">#REF!,#REF!</definedName>
    <definedName name="WhiteSpace" localSheetId="8">#REF!,#REF!</definedName>
    <definedName name="WhiteSpace" localSheetId="7">#REF!,#REF!</definedName>
    <definedName name="WhiteSpace">#REF!,#REF!</definedName>
    <definedName name="yes" localSheetId="6">#REF!</definedName>
    <definedName name="yes" localSheetId="5">#REF!</definedName>
    <definedName name="yes" localSheetId="8">#REF!</definedName>
    <definedName name="yes" localSheetId="7">#REF!</definedName>
    <definedName name="y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25" i="42" l="1"/>
  <c r="Q124" i="42"/>
  <c r="P124" i="42"/>
  <c r="O124" i="42"/>
  <c r="Q123" i="42"/>
  <c r="P123" i="42"/>
  <c r="O123" i="42"/>
  <c r="Q122" i="42"/>
  <c r="P122" i="42"/>
  <c r="R122" i="42" s="1"/>
  <c r="O122" i="42"/>
  <c r="Q121" i="42"/>
  <c r="P121" i="42"/>
  <c r="K114" i="42"/>
  <c r="K109" i="42"/>
  <c r="J109" i="42"/>
  <c r="L109" i="42" s="1"/>
  <c r="N108" i="42"/>
  <c r="M108" i="42"/>
  <c r="N107" i="42"/>
  <c r="M107" i="42"/>
  <c r="N106" i="42"/>
  <c r="N109" i="42" s="1"/>
  <c r="M106" i="42"/>
  <c r="N105" i="42"/>
  <c r="M105" i="42"/>
  <c r="N104" i="42"/>
  <c r="M104" i="42"/>
  <c r="M109" i="42" s="1"/>
  <c r="K101" i="42"/>
  <c r="N100" i="42"/>
  <c r="M100" i="42"/>
  <c r="J100" i="42"/>
  <c r="J101" i="42" s="1"/>
  <c r="B100" i="42"/>
  <c r="N99" i="42"/>
  <c r="M99" i="42"/>
  <c r="N98" i="42"/>
  <c r="M98" i="42"/>
  <c r="L98" i="42"/>
  <c r="N97" i="42"/>
  <c r="M97" i="42"/>
  <c r="M101" i="42" s="1"/>
  <c r="N96" i="42"/>
  <c r="M96" i="42"/>
  <c r="N95" i="42"/>
  <c r="N101" i="42" s="1"/>
  <c r="M95" i="42"/>
  <c r="K92" i="42"/>
  <c r="N91" i="42"/>
  <c r="M91" i="42"/>
  <c r="J91" i="42"/>
  <c r="L91" i="42" s="1"/>
  <c r="B91" i="42"/>
  <c r="N90" i="42"/>
  <c r="M90" i="42"/>
  <c r="L90" i="42"/>
  <c r="N89" i="42"/>
  <c r="M89" i="42"/>
  <c r="L89" i="42"/>
  <c r="N88" i="42"/>
  <c r="N92" i="42" s="1"/>
  <c r="M88" i="42"/>
  <c r="M92" i="42" s="1"/>
  <c r="K85" i="42"/>
  <c r="N84" i="42"/>
  <c r="M84" i="42"/>
  <c r="L84" i="42"/>
  <c r="J84" i="42"/>
  <c r="N83" i="42"/>
  <c r="M83" i="42"/>
  <c r="L83" i="42"/>
  <c r="J83" i="42"/>
  <c r="N82" i="42"/>
  <c r="M82" i="42"/>
  <c r="N81" i="42"/>
  <c r="M81" i="42"/>
  <c r="N80" i="42"/>
  <c r="M80" i="42"/>
  <c r="J80" i="42"/>
  <c r="L80" i="42" s="1"/>
  <c r="B80" i="42"/>
  <c r="N79" i="42"/>
  <c r="M79" i="42"/>
  <c r="J79" i="42"/>
  <c r="L79" i="42" s="1"/>
  <c r="B79" i="42"/>
  <c r="N78" i="42"/>
  <c r="M78" i="42"/>
  <c r="J78" i="42"/>
  <c r="L78" i="42" s="1"/>
  <c r="B78" i="42"/>
  <c r="N77" i="42"/>
  <c r="M77" i="42"/>
  <c r="L77" i="42"/>
  <c r="N76" i="42"/>
  <c r="M76" i="42"/>
  <c r="M85" i="42" s="1"/>
  <c r="L76" i="42"/>
  <c r="N75" i="42"/>
  <c r="M75" i="42"/>
  <c r="L75" i="42"/>
  <c r="J75" i="42"/>
  <c r="N74" i="42"/>
  <c r="N85" i="42" s="1"/>
  <c r="M74" i="42"/>
  <c r="L74" i="42"/>
  <c r="J74" i="42"/>
  <c r="J85" i="42" s="1"/>
  <c r="L85" i="42" s="1"/>
  <c r="N71" i="42"/>
  <c r="K71" i="42"/>
  <c r="L71" i="42" s="1"/>
  <c r="N70" i="42"/>
  <c r="M70" i="42"/>
  <c r="J70" i="42"/>
  <c r="L70" i="42" s="1"/>
  <c r="B70" i="42"/>
  <c r="N69" i="42"/>
  <c r="M69" i="42"/>
  <c r="L69" i="42"/>
  <c r="J69" i="42"/>
  <c r="B69" i="42"/>
  <c r="N68" i="42"/>
  <c r="M68" i="42"/>
  <c r="L68" i="42"/>
  <c r="J68" i="42"/>
  <c r="N67" i="42"/>
  <c r="M67" i="42"/>
  <c r="L67" i="42"/>
  <c r="J67" i="42"/>
  <c r="N66" i="42"/>
  <c r="M66" i="42"/>
  <c r="L66" i="42"/>
  <c r="J66" i="42"/>
  <c r="N65" i="42"/>
  <c r="M65" i="42"/>
  <c r="M71" i="42" s="1"/>
  <c r="L65" i="42"/>
  <c r="J65" i="42"/>
  <c r="J71" i="42" s="1"/>
  <c r="M62" i="42"/>
  <c r="K62" i="42"/>
  <c r="N61" i="42"/>
  <c r="M61" i="42"/>
  <c r="L61" i="42"/>
  <c r="J61" i="42"/>
  <c r="N60" i="42"/>
  <c r="M60" i="42"/>
  <c r="L60" i="42"/>
  <c r="J60" i="42"/>
  <c r="N59" i="42"/>
  <c r="M59" i="42"/>
  <c r="L59" i="42"/>
  <c r="J59" i="42"/>
  <c r="B59" i="42"/>
  <c r="N58" i="42"/>
  <c r="M58" i="42"/>
  <c r="J58" i="42"/>
  <c r="J62" i="42" s="1"/>
  <c r="B58" i="42"/>
  <c r="N57" i="42"/>
  <c r="M57" i="42"/>
  <c r="L57" i="42"/>
  <c r="J57" i="42"/>
  <c r="N56" i="42"/>
  <c r="N62" i="42" s="1"/>
  <c r="M56" i="42"/>
  <c r="L56" i="42"/>
  <c r="J56" i="42"/>
  <c r="L53" i="42"/>
  <c r="K53" i="42"/>
  <c r="N52" i="42"/>
  <c r="M52" i="42"/>
  <c r="L52" i="42"/>
  <c r="J52" i="42"/>
  <c r="N51" i="42"/>
  <c r="N53" i="42" s="1"/>
  <c r="M51" i="42"/>
  <c r="L51" i="42"/>
  <c r="J51" i="42"/>
  <c r="N50" i="42"/>
  <c r="M50" i="42"/>
  <c r="L50" i="42"/>
  <c r="N49" i="42"/>
  <c r="M49" i="42"/>
  <c r="M53" i="42" s="1"/>
  <c r="L49" i="42"/>
  <c r="K46" i="42"/>
  <c r="N45" i="42"/>
  <c r="M45" i="42"/>
  <c r="J45" i="42"/>
  <c r="L45" i="42" s="1"/>
  <c r="B45" i="42"/>
  <c r="N44" i="42"/>
  <c r="M44" i="42"/>
  <c r="L44" i="42"/>
  <c r="J44" i="42"/>
  <c r="B44" i="42"/>
  <c r="N43" i="42"/>
  <c r="M43" i="42"/>
  <c r="J43" i="42"/>
  <c r="L43" i="42" s="1"/>
  <c r="B43" i="42"/>
  <c r="N42" i="42"/>
  <c r="M42" i="42"/>
  <c r="L42" i="42"/>
  <c r="J42" i="42"/>
  <c r="B42" i="42"/>
  <c r="N41" i="42"/>
  <c r="M41" i="42"/>
  <c r="J41" i="42"/>
  <c r="L41" i="42" s="1"/>
  <c r="B41" i="42"/>
  <c r="N40" i="42"/>
  <c r="M40" i="42"/>
  <c r="L40" i="42"/>
  <c r="J40" i="42"/>
  <c r="B40" i="42"/>
  <c r="N39" i="42"/>
  <c r="M39" i="42"/>
  <c r="N38" i="42"/>
  <c r="M38" i="42"/>
  <c r="J38" i="42"/>
  <c r="L38" i="42" s="1"/>
  <c r="B38" i="42"/>
  <c r="N37" i="42"/>
  <c r="M37" i="42"/>
  <c r="L37" i="42"/>
  <c r="J37" i="42"/>
  <c r="B37" i="42"/>
  <c r="N36" i="42"/>
  <c r="M36" i="42"/>
  <c r="J36" i="42"/>
  <c r="L36" i="42" s="1"/>
  <c r="B36" i="42"/>
  <c r="N35" i="42"/>
  <c r="M35" i="42"/>
  <c r="N34" i="42"/>
  <c r="M34" i="42"/>
  <c r="L34" i="42"/>
  <c r="J34" i="42"/>
  <c r="B34" i="42"/>
  <c r="N33" i="42"/>
  <c r="M33" i="42"/>
  <c r="J33" i="42"/>
  <c r="L33" i="42" s="1"/>
  <c r="B33" i="42"/>
  <c r="N32" i="42"/>
  <c r="N46" i="42" s="1"/>
  <c r="M32" i="42"/>
  <c r="J32" i="42"/>
  <c r="L32" i="42" s="1"/>
  <c r="B32" i="42"/>
  <c r="N31" i="42"/>
  <c r="M31" i="42"/>
  <c r="J31" i="42"/>
  <c r="L31" i="42" s="1"/>
  <c r="B31" i="42"/>
  <c r="N30" i="42"/>
  <c r="M30" i="42"/>
  <c r="L30" i="42"/>
  <c r="J30" i="42"/>
  <c r="B30" i="42"/>
  <c r="N29" i="42"/>
  <c r="M29" i="42"/>
  <c r="M46" i="42" s="1"/>
  <c r="J29" i="42"/>
  <c r="L29" i="42" s="1"/>
  <c r="B29" i="42"/>
  <c r="B112" i="42" s="1"/>
  <c r="K26" i="42"/>
  <c r="K112" i="42" s="1"/>
  <c r="J26" i="42"/>
  <c r="N25" i="42"/>
  <c r="M25" i="42"/>
  <c r="L25" i="42"/>
  <c r="J25" i="42"/>
  <c r="N24" i="42"/>
  <c r="M24" i="42"/>
  <c r="L24" i="42"/>
  <c r="J24" i="42"/>
  <c r="N23" i="42"/>
  <c r="M23" i="42"/>
  <c r="L23" i="42"/>
  <c r="N22" i="42"/>
  <c r="M22" i="42"/>
  <c r="L22" i="42"/>
  <c r="N21" i="42"/>
  <c r="M21" i="42"/>
  <c r="N20" i="42"/>
  <c r="M20" i="42"/>
  <c r="L20" i="42"/>
  <c r="N19" i="42"/>
  <c r="M19" i="42"/>
  <c r="N18" i="42"/>
  <c r="M18" i="42"/>
  <c r="N17" i="42"/>
  <c r="M17" i="42"/>
  <c r="N16" i="42"/>
  <c r="M16" i="42"/>
  <c r="N15" i="42"/>
  <c r="M15" i="42"/>
  <c r="L15" i="42"/>
  <c r="N14" i="42"/>
  <c r="M14" i="42"/>
  <c r="L14" i="42"/>
  <c r="N13" i="42"/>
  <c r="M13" i="42"/>
  <c r="L13" i="42"/>
  <c r="N12" i="42"/>
  <c r="M12" i="42"/>
  <c r="L12" i="42"/>
  <c r="N11" i="42"/>
  <c r="M11" i="42"/>
  <c r="L11" i="42"/>
  <c r="N10" i="42"/>
  <c r="M10" i="42"/>
  <c r="L10" i="42"/>
  <c r="N9" i="42"/>
  <c r="N26" i="42" s="1"/>
  <c r="M9" i="42"/>
  <c r="M26" i="42" s="1"/>
  <c r="I5" i="42"/>
  <c r="P4" i="42"/>
  <c r="I5" i="40"/>
  <c r="M9" i="40"/>
  <c r="M30" i="40"/>
  <c r="M31" i="40"/>
  <c r="M32" i="40"/>
  <c r="M33" i="40"/>
  <c r="M34" i="40"/>
  <c r="M35" i="40"/>
  <c r="M36" i="40"/>
  <c r="M37" i="40"/>
  <c r="M38" i="40"/>
  <c r="M39" i="40"/>
  <c r="M40" i="40"/>
  <c r="M41" i="40"/>
  <c r="M42" i="40"/>
  <c r="M43" i="40"/>
  <c r="M44" i="40"/>
  <c r="M45" i="40"/>
  <c r="M29" i="40"/>
  <c r="M50" i="40"/>
  <c r="M51" i="40"/>
  <c r="M52" i="40"/>
  <c r="M49" i="40"/>
  <c r="M57" i="40"/>
  <c r="M58" i="40"/>
  <c r="M59" i="40"/>
  <c r="M60" i="40"/>
  <c r="M61" i="40"/>
  <c r="M56" i="40"/>
  <c r="M66" i="40"/>
  <c r="M67" i="40"/>
  <c r="M68" i="40"/>
  <c r="M69" i="40"/>
  <c r="M70" i="40"/>
  <c r="M65" i="40"/>
  <c r="M75" i="40"/>
  <c r="M76" i="40"/>
  <c r="M77" i="40"/>
  <c r="M78" i="40"/>
  <c r="M79" i="40"/>
  <c r="M80" i="40"/>
  <c r="M81" i="40"/>
  <c r="M82" i="40"/>
  <c r="M83" i="40"/>
  <c r="M84" i="40"/>
  <c r="M74" i="40"/>
  <c r="M89" i="40"/>
  <c r="M90" i="40"/>
  <c r="M91" i="40"/>
  <c r="M88" i="40"/>
  <c r="M96" i="40"/>
  <c r="M97" i="40"/>
  <c r="M98" i="40"/>
  <c r="M99" i="40"/>
  <c r="M100" i="40"/>
  <c r="M95" i="40"/>
  <c r="M104" i="40"/>
  <c r="M105" i="40"/>
  <c r="M106" i="40"/>
  <c r="M107" i="40"/>
  <c r="M108" i="40"/>
  <c r="L62" i="42" l="1"/>
  <c r="L92" i="42"/>
  <c r="L101" i="42"/>
  <c r="R125" i="42"/>
  <c r="R123" i="42"/>
  <c r="J46" i="42"/>
  <c r="J112" i="42" s="1"/>
  <c r="J92" i="42"/>
  <c r="L26" i="42"/>
  <c r="L58" i="42"/>
  <c r="L100" i="42"/>
  <c r="D32" i="41"/>
  <c r="D24" i="41"/>
  <c r="Q125" i="40"/>
  <c r="Q124" i="40"/>
  <c r="P124" i="40"/>
  <c r="O124" i="40"/>
  <c r="Q123" i="40"/>
  <c r="P123" i="40"/>
  <c r="O123" i="40"/>
  <c r="Q122" i="40"/>
  <c r="P122" i="40"/>
  <c r="O122" i="40"/>
  <c r="Q121" i="40"/>
  <c r="P121" i="40"/>
  <c r="K109" i="40"/>
  <c r="K114" i="40" s="1"/>
  <c r="J109" i="40"/>
  <c r="N108" i="40"/>
  <c r="N107" i="40"/>
  <c r="N106" i="40"/>
  <c r="N105" i="40"/>
  <c r="N104" i="40"/>
  <c r="K101" i="40"/>
  <c r="N100" i="40"/>
  <c r="J100" i="40"/>
  <c r="J101" i="40" s="1"/>
  <c r="B100" i="40"/>
  <c r="N99" i="40"/>
  <c r="N98" i="40"/>
  <c r="M101" i="40"/>
  <c r="L98" i="40"/>
  <c r="N97" i="40"/>
  <c r="N96" i="40"/>
  <c r="N95" i="40"/>
  <c r="K92" i="40"/>
  <c r="N91" i="40"/>
  <c r="J91" i="40"/>
  <c r="L91" i="40" s="1"/>
  <c r="B91" i="40"/>
  <c r="N90" i="40"/>
  <c r="L90" i="40"/>
  <c r="N89" i="40"/>
  <c r="L89" i="40"/>
  <c r="N88" i="40"/>
  <c r="K85" i="40"/>
  <c r="N84" i="40"/>
  <c r="L84" i="40"/>
  <c r="J84" i="40"/>
  <c r="N83" i="40"/>
  <c r="L83" i="40"/>
  <c r="J83" i="40"/>
  <c r="N82" i="40"/>
  <c r="N81" i="40"/>
  <c r="N80" i="40"/>
  <c r="J80" i="40"/>
  <c r="L80" i="40" s="1"/>
  <c r="B80" i="40"/>
  <c r="N79" i="40"/>
  <c r="J79" i="40"/>
  <c r="L79" i="40" s="1"/>
  <c r="B79" i="40"/>
  <c r="N78" i="40"/>
  <c r="J78" i="40"/>
  <c r="L78" i="40" s="1"/>
  <c r="B78" i="40"/>
  <c r="N77" i="40"/>
  <c r="L77" i="40"/>
  <c r="N76" i="40"/>
  <c r="L76" i="40"/>
  <c r="N75" i="40"/>
  <c r="L75" i="40"/>
  <c r="J75" i="40"/>
  <c r="N74" i="40"/>
  <c r="L74" i="40"/>
  <c r="J74" i="40"/>
  <c r="K71" i="40"/>
  <c r="N70" i="40"/>
  <c r="J70" i="40"/>
  <c r="L70" i="40" s="1"/>
  <c r="B70" i="40"/>
  <c r="N69" i="40"/>
  <c r="J69" i="40"/>
  <c r="L69" i="40" s="1"/>
  <c r="B69" i="40"/>
  <c r="N68" i="40"/>
  <c r="L68" i="40"/>
  <c r="J68" i="40"/>
  <c r="N67" i="40"/>
  <c r="L67" i="40"/>
  <c r="J67" i="40"/>
  <c r="N66" i="40"/>
  <c r="L66" i="40"/>
  <c r="J66" i="40"/>
  <c r="N65" i="40"/>
  <c r="L65" i="40"/>
  <c r="J65" i="40"/>
  <c r="K62" i="40"/>
  <c r="N61" i="40"/>
  <c r="L61" i="40"/>
  <c r="J61" i="40"/>
  <c r="N60" i="40"/>
  <c r="L60" i="40"/>
  <c r="J60" i="40"/>
  <c r="N59" i="40"/>
  <c r="J59" i="40"/>
  <c r="L59" i="40" s="1"/>
  <c r="B59" i="40"/>
  <c r="N58" i="40"/>
  <c r="J58" i="40"/>
  <c r="L58" i="40" s="1"/>
  <c r="B58" i="40"/>
  <c r="N57" i="40"/>
  <c r="L57" i="40"/>
  <c r="J57" i="40"/>
  <c r="N56" i="40"/>
  <c r="L56" i="40"/>
  <c r="J56" i="40"/>
  <c r="K53" i="40"/>
  <c r="L53" i="40" s="1"/>
  <c r="N52" i="40"/>
  <c r="L52" i="40"/>
  <c r="J52" i="40"/>
  <c r="N51" i="40"/>
  <c r="L51" i="40"/>
  <c r="J51" i="40"/>
  <c r="N50" i="40"/>
  <c r="L50" i="40"/>
  <c r="N49" i="40"/>
  <c r="L49" i="40"/>
  <c r="K46" i="40"/>
  <c r="N45" i="40"/>
  <c r="J45" i="40"/>
  <c r="L45" i="40" s="1"/>
  <c r="B45" i="40"/>
  <c r="N44" i="40"/>
  <c r="J44" i="40"/>
  <c r="L44" i="40" s="1"/>
  <c r="B44" i="40"/>
  <c r="N43" i="40"/>
  <c r="J43" i="40"/>
  <c r="L43" i="40" s="1"/>
  <c r="B43" i="40"/>
  <c r="N42" i="40"/>
  <c r="J42" i="40"/>
  <c r="L42" i="40" s="1"/>
  <c r="B42" i="40"/>
  <c r="N41" i="40"/>
  <c r="J41" i="40"/>
  <c r="L41" i="40" s="1"/>
  <c r="B41" i="40"/>
  <c r="N40" i="40"/>
  <c r="J40" i="40"/>
  <c r="L40" i="40" s="1"/>
  <c r="B40" i="40"/>
  <c r="N39" i="40"/>
  <c r="N38" i="40"/>
  <c r="J38" i="40"/>
  <c r="L38" i="40" s="1"/>
  <c r="B38" i="40"/>
  <c r="N37" i="40"/>
  <c r="J37" i="40"/>
  <c r="L37" i="40" s="1"/>
  <c r="B37" i="40"/>
  <c r="N36" i="40"/>
  <c r="J36" i="40"/>
  <c r="L36" i="40" s="1"/>
  <c r="B36" i="40"/>
  <c r="N35" i="40"/>
  <c r="N34" i="40"/>
  <c r="J34" i="40"/>
  <c r="L34" i="40" s="1"/>
  <c r="B34" i="40"/>
  <c r="N33" i="40"/>
  <c r="J33" i="40"/>
  <c r="L33" i="40" s="1"/>
  <c r="B33" i="40"/>
  <c r="N32" i="40"/>
  <c r="J32" i="40"/>
  <c r="L32" i="40" s="1"/>
  <c r="B32" i="40"/>
  <c r="N31" i="40"/>
  <c r="J31" i="40"/>
  <c r="L31" i="40" s="1"/>
  <c r="B31" i="40"/>
  <c r="N30" i="40"/>
  <c r="J30" i="40"/>
  <c r="L30" i="40" s="1"/>
  <c r="B30" i="40"/>
  <c r="N29" i="40"/>
  <c r="J29" i="40"/>
  <c r="L29" i="40" s="1"/>
  <c r="B29" i="40"/>
  <c r="K26" i="40"/>
  <c r="N25" i="40"/>
  <c r="M25" i="40"/>
  <c r="L25" i="40"/>
  <c r="J25" i="40"/>
  <c r="N24" i="40"/>
  <c r="M24" i="40"/>
  <c r="L24" i="40"/>
  <c r="J24" i="40"/>
  <c r="N23" i="40"/>
  <c r="M23" i="40"/>
  <c r="L23" i="40"/>
  <c r="N22" i="40"/>
  <c r="M22" i="40"/>
  <c r="L22" i="40"/>
  <c r="N21" i="40"/>
  <c r="M21" i="40"/>
  <c r="N20" i="40"/>
  <c r="M20" i="40"/>
  <c r="L20" i="40"/>
  <c r="N19" i="40"/>
  <c r="M19" i="40"/>
  <c r="N18" i="40"/>
  <c r="M18" i="40"/>
  <c r="N17" i="40"/>
  <c r="M17" i="40"/>
  <c r="N16" i="40"/>
  <c r="M16" i="40"/>
  <c r="N15" i="40"/>
  <c r="M15" i="40"/>
  <c r="L15" i="40"/>
  <c r="N14" i="40"/>
  <c r="M14" i="40"/>
  <c r="L14" i="40"/>
  <c r="N13" i="40"/>
  <c r="M13" i="40"/>
  <c r="L13" i="40"/>
  <c r="N12" i="40"/>
  <c r="M12" i="40"/>
  <c r="L12" i="40"/>
  <c r="N11" i="40"/>
  <c r="M11" i="40"/>
  <c r="L11" i="40"/>
  <c r="N10" i="40"/>
  <c r="M10" i="40"/>
  <c r="L10" i="40"/>
  <c r="N9" i="40"/>
  <c r="J4" i="42" l="1"/>
  <c r="N112" i="42"/>
  <c r="N4" i="42" s="1"/>
  <c r="M112" i="42"/>
  <c r="M4" i="42" s="1"/>
  <c r="K113" i="42"/>
  <c r="K115" i="42" s="1"/>
  <c r="K4" i="42" s="1"/>
  <c r="G4" i="42" s="1"/>
  <c r="L46" i="42"/>
  <c r="N62" i="40"/>
  <c r="N71" i="40"/>
  <c r="M53" i="40"/>
  <c r="M109" i="40"/>
  <c r="M62" i="40"/>
  <c r="N109" i="40"/>
  <c r="M92" i="40"/>
  <c r="M85" i="40"/>
  <c r="N85" i="40"/>
  <c r="J85" i="40"/>
  <c r="L85" i="40" s="1"/>
  <c r="M46" i="40"/>
  <c r="N92" i="40"/>
  <c r="L100" i="40"/>
  <c r="N46" i="40"/>
  <c r="J62" i="40"/>
  <c r="L62" i="40" s="1"/>
  <c r="R122" i="40"/>
  <c r="R123" i="40" s="1"/>
  <c r="R125" i="40" s="1"/>
  <c r="P4" i="40" s="1"/>
  <c r="N53" i="40"/>
  <c r="N101" i="40"/>
  <c r="L101" i="40"/>
  <c r="M71" i="40"/>
  <c r="J26" i="40"/>
  <c r="L26" i="40" s="1"/>
  <c r="M26" i="40"/>
  <c r="N26" i="40"/>
  <c r="B112" i="40"/>
  <c r="J46" i="40"/>
  <c r="L46" i="40" s="1"/>
  <c r="J71" i="40"/>
  <c r="L71" i="40" s="1"/>
  <c r="J92" i="40"/>
  <c r="L92" i="40" s="1"/>
  <c r="K112" i="40"/>
  <c r="L109" i="40"/>
  <c r="J112" i="40" l="1"/>
  <c r="K113" i="40" s="1"/>
  <c r="K115" i="40" s="1"/>
  <c r="K4" i="40" s="1"/>
  <c r="G4" i="40" s="1"/>
  <c r="J4" i="40" l="1"/>
  <c r="M112" i="40"/>
  <c r="M4" i="40" s="1"/>
  <c r="N112" i="40"/>
  <c r="N4" i="40" s="1"/>
  <c r="L74" i="27"/>
  <c r="J77" i="27"/>
  <c r="L98" i="27"/>
  <c r="L91" i="27"/>
  <c r="L90" i="27"/>
  <c r="L88" i="27"/>
  <c r="L73" i="27"/>
  <c r="L72" i="27"/>
  <c r="L49" i="27"/>
  <c r="L40" i="27"/>
  <c r="L39" i="27"/>
  <c r="L37" i="27"/>
  <c r="L36" i="27"/>
  <c r="L35" i="27"/>
  <c r="L24" i="27"/>
  <c r="L23" i="27"/>
  <c r="L22" i="27"/>
  <c r="L21" i="27"/>
  <c r="L19" i="27"/>
  <c r="L17" i="27"/>
  <c r="L16" i="27"/>
  <c r="L15" i="27"/>
  <c r="L13" i="27"/>
  <c r="L12" i="27"/>
  <c r="L11" i="27"/>
  <c r="L10" i="27"/>
  <c r="L9" i="27"/>
  <c r="J83" i="27"/>
  <c r="J82" i="27"/>
  <c r="J84" i="27"/>
  <c r="Y12" i="27" s="1"/>
  <c r="J76" i="27"/>
  <c r="J75" i="27"/>
  <c r="J74" i="27"/>
  <c r="J73" i="27"/>
  <c r="J72" i="27"/>
  <c r="J109" i="27"/>
  <c r="L109" i="27" s="1"/>
  <c r="K109" i="27"/>
  <c r="J68" i="27"/>
  <c r="J67" i="27"/>
  <c r="B68" i="27"/>
  <c r="B67" i="27"/>
  <c r="J66" i="27"/>
  <c r="J65" i="27"/>
  <c r="J64" i="27"/>
  <c r="J63" i="27"/>
  <c r="J51" i="27"/>
  <c r="J50" i="27"/>
  <c r="J23" i="27"/>
  <c r="J24" i="27"/>
  <c r="K101" i="27" l="1"/>
  <c r="J101" i="27"/>
  <c r="Y14" i="27" s="1"/>
  <c r="J94" i="27"/>
  <c r="K92" i="27"/>
  <c r="J91" i="27"/>
  <c r="J92" i="27" s="1"/>
  <c r="Y13" i="27" s="1"/>
  <c r="B91" i="27"/>
  <c r="J86" i="27" s="1"/>
  <c r="K84" i="27"/>
  <c r="J80" i="27"/>
  <c r="B80" i="27"/>
  <c r="J79" i="27"/>
  <c r="B79" i="27"/>
  <c r="J78" i="27"/>
  <c r="B78" i="27"/>
  <c r="B77" i="27"/>
  <c r="K69" i="27"/>
  <c r="K60" i="27"/>
  <c r="J57" i="27"/>
  <c r="B57" i="27"/>
  <c r="J56" i="27"/>
  <c r="B56" i="27"/>
  <c r="K52" i="27"/>
  <c r="J52" i="27"/>
  <c r="Y9" i="27" s="1"/>
  <c r="J47" i="27"/>
  <c r="K45" i="27"/>
  <c r="J44" i="27"/>
  <c r="B44" i="27"/>
  <c r="J43" i="27"/>
  <c r="B43" i="27"/>
  <c r="J42" i="27"/>
  <c r="B42" i="27"/>
  <c r="J41" i="27"/>
  <c r="B41" i="27"/>
  <c r="J40" i="27"/>
  <c r="B40" i="27"/>
  <c r="J39" i="27"/>
  <c r="B39" i="27"/>
  <c r="J37" i="27"/>
  <c r="B37" i="27"/>
  <c r="J36" i="27"/>
  <c r="B36" i="27"/>
  <c r="J35" i="27"/>
  <c r="B35" i="27"/>
  <c r="J33" i="27"/>
  <c r="B33" i="27"/>
  <c r="J32" i="27"/>
  <c r="B32" i="27"/>
  <c r="J31" i="27"/>
  <c r="B31" i="27"/>
  <c r="J30" i="27"/>
  <c r="B30" i="27"/>
  <c r="J29" i="27"/>
  <c r="B29" i="27"/>
  <c r="J28" i="27"/>
  <c r="B28" i="27"/>
  <c r="K25" i="27"/>
  <c r="J6" i="27"/>
  <c r="Z8" i="27" l="1"/>
  <c r="Z10" i="27"/>
  <c r="Z13" i="27"/>
  <c r="L92" i="27"/>
  <c r="Z7" i="27"/>
  <c r="Z11" i="27"/>
  <c r="Z12" i="27"/>
  <c r="L84" i="27"/>
  <c r="L52" i="27"/>
  <c r="Z9" i="27"/>
  <c r="Z14" i="27"/>
  <c r="L101" i="27"/>
  <c r="K112" i="27"/>
  <c r="J62" i="27"/>
  <c r="J60" i="27"/>
  <c r="Y10" i="27" s="1"/>
  <c r="J27" i="27"/>
  <c r="J45" i="27"/>
  <c r="Y8" i="27" s="1"/>
  <c r="J69" i="27"/>
  <c r="Y11" i="27" s="1"/>
  <c r="J54" i="27"/>
  <c r="J25" i="27"/>
  <c r="L25" i="27" s="1"/>
  <c r="J71" i="27"/>
  <c r="Q138" i="33"/>
  <c r="Q137" i="33"/>
  <c r="P137" i="33"/>
  <c r="O137" i="33"/>
  <c r="Q136" i="33"/>
  <c r="P136" i="33"/>
  <c r="O136" i="33"/>
  <c r="Q135" i="33"/>
  <c r="P135" i="33"/>
  <c r="O135" i="33"/>
  <c r="Q134" i="33"/>
  <c r="P134" i="33"/>
  <c r="K122" i="33"/>
  <c r="J122" i="33"/>
  <c r="N121" i="33"/>
  <c r="M121" i="33"/>
  <c r="N120" i="33"/>
  <c r="M120" i="33"/>
  <c r="N119" i="33"/>
  <c r="M119" i="33"/>
  <c r="N118" i="33"/>
  <c r="M118" i="33"/>
  <c r="N117" i="33"/>
  <c r="M117" i="33"/>
  <c r="K114" i="33"/>
  <c r="J114" i="33"/>
  <c r="N113" i="33"/>
  <c r="M113" i="33"/>
  <c r="N112" i="33"/>
  <c r="M112" i="33"/>
  <c r="N111" i="33"/>
  <c r="M111" i="33"/>
  <c r="L111" i="33"/>
  <c r="N110" i="33"/>
  <c r="M110" i="33"/>
  <c r="N109" i="33"/>
  <c r="M109" i="33"/>
  <c r="N108" i="33"/>
  <c r="M108" i="33"/>
  <c r="J107" i="33"/>
  <c r="K105" i="33"/>
  <c r="N104" i="33"/>
  <c r="M104" i="33"/>
  <c r="N103" i="33"/>
  <c r="M103" i="33"/>
  <c r="L103" i="33"/>
  <c r="J103" i="33"/>
  <c r="J105" i="33" s="1"/>
  <c r="B103" i="33"/>
  <c r="J98" i="33" s="1"/>
  <c r="N102" i="33"/>
  <c r="M102" i="33"/>
  <c r="L102" i="33"/>
  <c r="N101" i="33"/>
  <c r="M101" i="33"/>
  <c r="N100" i="33"/>
  <c r="M100" i="33"/>
  <c r="L100" i="33"/>
  <c r="N99" i="33"/>
  <c r="M99" i="33"/>
  <c r="K96" i="33"/>
  <c r="J96" i="33"/>
  <c r="N95" i="33"/>
  <c r="M95" i="33"/>
  <c r="J95" i="33"/>
  <c r="J94" i="33"/>
  <c r="N93" i="33"/>
  <c r="M93" i="33"/>
  <c r="N92" i="33"/>
  <c r="M92" i="33"/>
  <c r="J92" i="33"/>
  <c r="B92" i="33"/>
  <c r="N91" i="33"/>
  <c r="M91" i="33"/>
  <c r="J91" i="33"/>
  <c r="B91" i="33"/>
  <c r="N90" i="33"/>
  <c r="M90" i="33"/>
  <c r="J90" i="33"/>
  <c r="B90" i="33"/>
  <c r="N89" i="33"/>
  <c r="M89" i="33"/>
  <c r="J89" i="33"/>
  <c r="B89" i="33"/>
  <c r="J84" i="33" s="1"/>
  <c r="N88" i="33"/>
  <c r="M88" i="33"/>
  <c r="J88" i="33"/>
  <c r="N87" i="33"/>
  <c r="M87" i="33"/>
  <c r="L87" i="33"/>
  <c r="J87" i="33"/>
  <c r="N86" i="33"/>
  <c r="M86" i="33"/>
  <c r="L86" i="33"/>
  <c r="N85" i="33"/>
  <c r="M85" i="33"/>
  <c r="L85" i="33"/>
  <c r="J85" i="33"/>
  <c r="K82" i="33"/>
  <c r="N81" i="33"/>
  <c r="M81" i="33"/>
  <c r="J81" i="33"/>
  <c r="B81" i="33"/>
  <c r="N80" i="33"/>
  <c r="M80" i="33"/>
  <c r="J80" i="33"/>
  <c r="B80" i="33"/>
  <c r="J75" i="33" s="1"/>
  <c r="N79" i="33"/>
  <c r="M79" i="33"/>
  <c r="J79" i="33"/>
  <c r="N78" i="33"/>
  <c r="M78" i="33"/>
  <c r="J78" i="33"/>
  <c r="N77" i="33"/>
  <c r="M77" i="33"/>
  <c r="J77" i="33"/>
  <c r="N76" i="33"/>
  <c r="M76" i="33"/>
  <c r="J76" i="33"/>
  <c r="K73" i="33"/>
  <c r="N72" i="33"/>
  <c r="M72" i="33"/>
  <c r="J72" i="33"/>
  <c r="N71" i="33"/>
  <c r="M71" i="33"/>
  <c r="J71" i="33"/>
  <c r="N70" i="33"/>
  <c r="M70" i="33"/>
  <c r="J70" i="33"/>
  <c r="B70" i="33"/>
  <c r="N69" i="33"/>
  <c r="M69" i="33"/>
  <c r="J69" i="33"/>
  <c r="B69" i="33"/>
  <c r="J66" i="33" s="1"/>
  <c r="N68" i="33"/>
  <c r="M68" i="33"/>
  <c r="J68" i="33"/>
  <c r="N67" i="33"/>
  <c r="M67" i="33"/>
  <c r="J67" i="33"/>
  <c r="K64" i="33"/>
  <c r="N63" i="33"/>
  <c r="M63" i="33"/>
  <c r="J63" i="33"/>
  <c r="N62" i="33"/>
  <c r="M62" i="33"/>
  <c r="J62" i="33"/>
  <c r="N61" i="33"/>
  <c r="M61" i="33"/>
  <c r="L61" i="33"/>
  <c r="J61" i="33"/>
  <c r="N60" i="33"/>
  <c r="M60" i="33"/>
  <c r="N59" i="33"/>
  <c r="M59" i="33"/>
  <c r="L59" i="33"/>
  <c r="J59" i="33"/>
  <c r="N58" i="33"/>
  <c r="M58" i="33"/>
  <c r="N57" i="33"/>
  <c r="M57" i="33"/>
  <c r="L57" i="33"/>
  <c r="J57" i="33"/>
  <c r="N56" i="33"/>
  <c r="M56" i="33"/>
  <c r="N55" i="33"/>
  <c r="M55" i="33"/>
  <c r="L55" i="33"/>
  <c r="J55" i="33"/>
  <c r="N54" i="33"/>
  <c r="M54" i="33"/>
  <c r="N53" i="33"/>
  <c r="M53" i="33"/>
  <c r="J53" i="33"/>
  <c r="N52" i="33"/>
  <c r="M52" i="33"/>
  <c r="J52" i="33"/>
  <c r="N51" i="33"/>
  <c r="M51" i="33"/>
  <c r="J51" i="33"/>
  <c r="N50" i="33"/>
  <c r="M50" i="33"/>
  <c r="J50" i="33"/>
  <c r="N49" i="33"/>
  <c r="M49" i="33"/>
  <c r="J49" i="33"/>
  <c r="N48" i="33"/>
  <c r="M48" i="33"/>
  <c r="J48" i="33"/>
  <c r="N47" i="33"/>
  <c r="M47" i="33"/>
  <c r="J46" i="33"/>
  <c r="K44" i="33"/>
  <c r="N43" i="33"/>
  <c r="M43" i="33"/>
  <c r="J43" i="33"/>
  <c r="B43" i="33"/>
  <c r="N42" i="33"/>
  <c r="M42" i="33"/>
  <c r="J42" i="33"/>
  <c r="B42" i="33"/>
  <c r="N41" i="33"/>
  <c r="M41" i="33"/>
  <c r="J41" i="33"/>
  <c r="B41" i="33"/>
  <c r="N40" i="33"/>
  <c r="M40" i="33"/>
  <c r="J40" i="33"/>
  <c r="B40" i="33"/>
  <c r="N39" i="33"/>
  <c r="M39" i="33"/>
  <c r="L39" i="33"/>
  <c r="J39" i="33"/>
  <c r="B39" i="33"/>
  <c r="N38" i="33"/>
  <c r="M38" i="33"/>
  <c r="L38" i="33"/>
  <c r="J38" i="33"/>
  <c r="B38" i="33"/>
  <c r="N37" i="33"/>
  <c r="M37" i="33"/>
  <c r="N36" i="33"/>
  <c r="M36" i="33"/>
  <c r="L36" i="33"/>
  <c r="J36" i="33"/>
  <c r="B36" i="33"/>
  <c r="N35" i="33"/>
  <c r="M35" i="33"/>
  <c r="L35" i="33"/>
  <c r="J35" i="33"/>
  <c r="B35" i="33"/>
  <c r="N34" i="33"/>
  <c r="M34" i="33"/>
  <c r="L34" i="33"/>
  <c r="J34" i="33"/>
  <c r="B34" i="33"/>
  <c r="N33" i="33"/>
  <c r="M33" i="33"/>
  <c r="N32" i="33"/>
  <c r="M32" i="33"/>
  <c r="J32" i="33"/>
  <c r="B32" i="33"/>
  <c r="N31" i="33"/>
  <c r="M31" i="33"/>
  <c r="J31" i="33"/>
  <c r="B31" i="33"/>
  <c r="N30" i="33"/>
  <c r="M30" i="33"/>
  <c r="J30" i="33"/>
  <c r="B30" i="33"/>
  <c r="N29" i="33"/>
  <c r="M29" i="33"/>
  <c r="J29" i="33"/>
  <c r="B29" i="33"/>
  <c r="N28" i="33"/>
  <c r="M28" i="33"/>
  <c r="J28" i="33"/>
  <c r="B28" i="33"/>
  <c r="N27" i="33"/>
  <c r="M27" i="33"/>
  <c r="J27" i="33"/>
  <c r="B27" i="33"/>
  <c r="K24" i="33"/>
  <c r="N23" i="33"/>
  <c r="M23" i="33"/>
  <c r="L23" i="33"/>
  <c r="J23" i="33"/>
  <c r="N22" i="33"/>
  <c r="M22" i="33"/>
  <c r="L22" i="33"/>
  <c r="J22" i="33"/>
  <c r="J24" i="33" s="1"/>
  <c r="N20" i="33"/>
  <c r="M20" i="33"/>
  <c r="L20" i="33"/>
  <c r="N19" i="33"/>
  <c r="M19" i="33"/>
  <c r="N18" i="33"/>
  <c r="M18" i="33"/>
  <c r="L18" i="33"/>
  <c r="N17" i="33"/>
  <c r="M17" i="33"/>
  <c r="N16" i="33"/>
  <c r="M16" i="33"/>
  <c r="L16" i="33"/>
  <c r="N15" i="33"/>
  <c r="M15" i="33"/>
  <c r="L15" i="33"/>
  <c r="N14" i="33"/>
  <c r="M14" i="33"/>
  <c r="L14" i="33"/>
  <c r="N13" i="33"/>
  <c r="M13" i="33"/>
  <c r="L13" i="33"/>
  <c r="N12" i="33"/>
  <c r="M12" i="33"/>
  <c r="L12" i="33"/>
  <c r="N11" i="33"/>
  <c r="M11" i="33"/>
  <c r="L11" i="33"/>
  <c r="N10" i="33"/>
  <c r="M10" i="33"/>
  <c r="L10" i="33"/>
  <c r="N9" i="33"/>
  <c r="M9" i="33"/>
  <c r="L9" i="33"/>
  <c r="N8" i="33"/>
  <c r="M8" i="33"/>
  <c r="N7" i="33"/>
  <c r="M7" i="33"/>
  <c r="J6" i="33"/>
  <c r="G2" i="33"/>
  <c r="M122" i="33" l="1"/>
  <c r="J64" i="33"/>
  <c r="L64" i="33" s="1"/>
  <c r="L96" i="33"/>
  <c r="L60" i="27"/>
  <c r="L69" i="27"/>
  <c r="N105" i="33"/>
  <c r="N114" i="33"/>
  <c r="L114" i="33"/>
  <c r="J26" i="33"/>
  <c r="N73" i="33"/>
  <c r="M82" i="33"/>
  <c r="L45" i="27"/>
  <c r="L122" i="33"/>
  <c r="M44" i="33"/>
  <c r="J73" i="33"/>
  <c r="L73" i="33" s="1"/>
  <c r="M96" i="33"/>
  <c r="N96" i="33"/>
  <c r="M24" i="33"/>
  <c r="J44" i="33"/>
  <c r="L44" i="33" s="1"/>
  <c r="N82" i="33"/>
  <c r="L105" i="33"/>
  <c r="N44" i="33"/>
  <c r="B125" i="33"/>
  <c r="J125" i="33" s="1"/>
  <c r="J3" i="33" s="1"/>
  <c r="M64" i="33"/>
  <c r="N64" i="33"/>
  <c r="M73" i="33"/>
  <c r="J82" i="33"/>
  <c r="L82" i="33" s="1"/>
  <c r="M105" i="33"/>
  <c r="M114" i="33"/>
  <c r="N122" i="33"/>
  <c r="P3" i="33"/>
  <c r="R135" i="33"/>
  <c r="R136" i="33" s="1"/>
  <c r="N24" i="33"/>
  <c r="L24" i="33"/>
  <c r="K125" i="33"/>
  <c r="K127" i="33"/>
  <c r="R138" i="33" l="1"/>
  <c r="M125" i="33"/>
  <c r="M3" i="33" s="1"/>
  <c r="K126" i="33"/>
  <c r="K128" i="33" s="1"/>
  <c r="K3" i="33" s="1"/>
  <c r="G3" i="33" s="1"/>
  <c r="N125" i="33"/>
  <c r="N3" i="33" s="1"/>
  <c r="AB14" i="27" l="1"/>
  <c r="AC14" i="27"/>
  <c r="K114" i="27" l="1"/>
  <c r="AC17" i="27"/>
  <c r="AB17" i="27"/>
  <c r="AC13" i="27"/>
  <c r="AB13" i="27"/>
  <c r="AC12" i="27"/>
  <c r="AB12" i="27"/>
  <c r="AC11" i="27"/>
  <c r="AB11" i="27"/>
  <c r="AC10" i="27"/>
  <c r="AB10" i="27"/>
  <c r="AC9" i="27"/>
  <c r="AB9" i="27"/>
  <c r="AC8" i="27"/>
  <c r="AB8" i="27"/>
  <c r="AC7" i="27"/>
  <c r="AB7" i="27"/>
  <c r="G2" i="27"/>
  <c r="C19" i="16"/>
  <c r="B112" i="27" l="1"/>
  <c r="J112" i="27" s="1"/>
  <c r="J3" i="27" s="1"/>
  <c r="X15" i="27" l="1"/>
  <c r="AB16" i="27" s="1"/>
  <c r="AB18" i="27" s="1"/>
  <c r="K113" i="27"/>
  <c r="K115" i="27" s="1"/>
  <c r="K3" i="27" s="1"/>
  <c r="G3" i="27" s="1"/>
  <c r="AC16" i="27" l="1"/>
  <c r="AC18" i="2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Karl Desai</author>
    <author>Ulises Demeneghi Cervantes</author>
  </authors>
  <commentList>
    <comment ref="K113" authorId="0" shapeId="0" xr:uid="{13C1CDEE-88BA-461D-898C-1DD9D03B9CEB}">
      <text>
        <r>
          <rPr>
            <sz val="11"/>
            <color indexed="81"/>
            <rFont val="Arial"/>
            <family val="2"/>
          </rPr>
          <t xml:space="preserve">This is the number of points targeted divided by the number of points available. </t>
        </r>
      </text>
    </comment>
    <comment ref="K115" authorId="0" shapeId="0" xr:uid="{36358DEB-0ECE-402B-BC5A-40C10BE6ADD2}">
      <text>
        <r>
          <rPr>
            <sz val="11"/>
            <color indexed="81"/>
            <rFont val="Tahoma"/>
            <family val="2"/>
          </rPr>
          <t>This is the core score plus the Innovation points targeted. See the Submission Guidelines for additional detail.</t>
        </r>
        <r>
          <rPr>
            <sz val="8"/>
            <color indexed="81"/>
            <rFont val="Tahoma"/>
            <family val="2"/>
          </rPr>
          <t xml:space="preserve">
</t>
        </r>
      </text>
    </comment>
    <comment ref="O122" authorId="1" shapeId="0" xr:uid="{31A180A6-7B4A-43B3-898E-9837CF094702}">
      <text>
        <r>
          <rPr>
            <b/>
            <sz val="10"/>
            <color indexed="81"/>
            <rFont val="Tahoma"/>
            <family val="2"/>
          </rPr>
          <t xml:space="preserve">Ulises Demeneghi: Changed interval to exclude innovation points
</t>
        </r>
      </text>
    </comment>
    <comment ref="O123" authorId="1" shapeId="0" xr:uid="{36BD2884-EE6A-45D0-9F60-031AA8EDF405}">
      <text>
        <r>
          <rPr>
            <b/>
            <sz val="10"/>
            <color indexed="81"/>
            <rFont val="Tahoma"/>
            <family val="2"/>
          </rPr>
          <t xml:space="preserve">Ulises Demeneghi: Changed interval to exclude innovation points
</t>
        </r>
      </text>
    </comment>
    <comment ref="O124" authorId="1" shapeId="0" xr:uid="{89BCFE8E-3FB8-4632-A1FB-089C1F00F8BC}">
      <text>
        <r>
          <rPr>
            <b/>
            <sz val="10"/>
            <color indexed="81"/>
            <rFont val="Tahoma"/>
            <family val="2"/>
          </rPr>
          <t xml:space="preserve">Ulises Demeneghi: Changed interval to exclude innovation points
</t>
        </r>
      </text>
    </comment>
    <comment ref="Q124" authorId="1" shapeId="0" xr:uid="{7C4A4153-EE5A-44C5-AD6E-A12D8544AC93}">
      <text>
        <r>
          <rPr>
            <b/>
            <sz val="10"/>
            <color indexed="81"/>
            <rFont val="Tahoma"/>
            <family val="2"/>
          </rPr>
          <t xml:space="preserve">Ulises Demeneghi: Changed interval to exclude innovation points
</t>
        </r>
      </text>
    </comment>
    <comment ref="R125" authorId="1" shapeId="0" xr:uid="{F168BC9F-D66C-4DF7-B735-FBE40B7910B3}">
      <text>
        <r>
          <rPr>
            <b/>
            <sz val="10"/>
            <color indexed="81"/>
            <rFont val="Tahoma"/>
            <family val="2"/>
          </rPr>
          <t xml:space="preserve">Ulises Demeneghi </t>
        </r>
        <r>
          <rPr>
            <sz val="10"/>
            <color indexed="81"/>
            <rFont val="Tahoma"/>
            <family val="2"/>
          </rPr>
          <t xml:space="preserve">
Corrected formula according to the one in Interiors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Karl Desai</author>
    <author>Ulises Demeneghi Cervantes</author>
  </authors>
  <commentList>
    <comment ref="K113" authorId="0" shapeId="0" xr:uid="{339842F0-CF8D-4F69-8C9B-1B6FC5816909}">
      <text>
        <r>
          <rPr>
            <sz val="11"/>
            <color indexed="81"/>
            <rFont val="Arial"/>
            <family val="2"/>
          </rPr>
          <t xml:space="preserve">This is the number of points targeted divided by the number of points available. </t>
        </r>
      </text>
    </comment>
    <comment ref="K115" authorId="0" shapeId="0" xr:uid="{BE70948F-99AF-45BD-B927-8F174450962D}">
      <text>
        <r>
          <rPr>
            <sz val="11"/>
            <color indexed="81"/>
            <rFont val="Tahoma"/>
            <family val="2"/>
          </rPr>
          <t>This is the core score plus the Innovation points targeted. See the Submission Guidelines for additional detail.</t>
        </r>
        <r>
          <rPr>
            <sz val="8"/>
            <color indexed="81"/>
            <rFont val="Tahoma"/>
            <family val="2"/>
          </rPr>
          <t xml:space="preserve">
</t>
        </r>
      </text>
    </comment>
    <comment ref="O122" authorId="1" shapeId="0" xr:uid="{9DD0DFA5-0D86-48C5-A3A1-90755974CE39}">
      <text>
        <r>
          <rPr>
            <b/>
            <sz val="10"/>
            <color indexed="81"/>
            <rFont val="Tahoma"/>
            <family val="2"/>
          </rPr>
          <t xml:space="preserve">Ulises Demeneghi: Changed interval to exclude innovation points
</t>
        </r>
      </text>
    </comment>
    <comment ref="O123" authorId="1" shapeId="0" xr:uid="{07C263B3-BA74-4816-8223-20CB9A16BEAA}">
      <text>
        <r>
          <rPr>
            <b/>
            <sz val="10"/>
            <color indexed="81"/>
            <rFont val="Tahoma"/>
            <family val="2"/>
          </rPr>
          <t xml:space="preserve">Ulises Demeneghi: Changed interval to exclude innovation points
</t>
        </r>
      </text>
    </comment>
    <comment ref="O124" authorId="1" shapeId="0" xr:uid="{5F92C204-0A57-46A5-AC4F-49AFDC3EDB82}">
      <text>
        <r>
          <rPr>
            <b/>
            <sz val="10"/>
            <color indexed="81"/>
            <rFont val="Tahoma"/>
            <family val="2"/>
          </rPr>
          <t xml:space="preserve">Ulises Demeneghi: Changed interval to exclude innovation points
</t>
        </r>
      </text>
    </comment>
    <comment ref="Q124" authorId="1" shapeId="0" xr:uid="{0AC22607-AE53-4CC6-B44F-4855445393EE}">
      <text>
        <r>
          <rPr>
            <b/>
            <sz val="10"/>
            <color indexed="81"/>
            <rFont val="Tahoma"/>
            <family val="2"/>
          </rPr>
          <t xml:space="preserve">Ulises Demeneghi: Changed interval to exclude innovation points
</t>
        </r>
      </text>
    </comment>
    <comment ref="R125" authorId="1" shapeId="0" xr:uid="{7B7F24F6-4514-4193-815B-C4ACE6E29AA2}">
      <text>
        <r>
          <rPr>
            <b/>
            <sz val="10"/>
            <color indexed="81"/>
            <rFont val="Tahoma"/>
            <family val="2"/>
          </rPr>
          <t xml:space="preserve">Ulises Demeneghi </t>
        </r>
        <r>
          <rPr>
            <sz val="10"/>
            <color indexed="81"/>
            <rFont val="Tahoma"/>
            <family val="2"/>
          </rPr>
          <t xml:space="preserve">
Corrected formula according to the one in Interiors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Karl Desai</author>
  </authors>
  <commentList>
    <comment ref="K113" authorId="0" shapeId="0" xr:uid="{00000000-0006-0000-0600-000001000000}">
      <text>
        <r>
          <rPr>
            <sz val="11"/>
            <color indexed="81"/>
            <rFont val="Arial"/>
            <family val="2"/>
          </rPr>
          <t xml:space="preserve">This is the number of points targeted divided by the number of points available. </t>
        </r>
      </text>
    </comment>
    <comment ref="K115" authorId="0" shapeId="0" xr:uid="{00000000-0006-0000-0600-000002000000}">
      <text>
        <r>
          <rPr>
            <sz val="11"/>
            <color indexed="81"/>
            <rFont val="Tahoma"/>
            <family val="2"/>
          </rPr>
          <t>This is the core score plus the Innovation points targeted. See the Submission Guidelines for additional detail.</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Karl Desai</author>
    <author>Ulises Demeneghi Cervantes</author>
  </authors>
  <commentList>
    <comment ref="K126" authorId="0" shapeId="0" xr:uid="{00000000-0006-0000-0500-000001000000}">
      <text>
        <r>
          <rPr>
            <sz val="11"/>
            <color indexed="81"/>
            <rFont val="Arial"/>
            <family val="2"/>
          </rPr>
          <t xml:space="preserve">This is the number of points targeted divided by the number of points available. </t>
        </r>
      </text>
    </comment>
    <comment ref="K128" authorId="0" shapeId="0" xr:uid="{00000000-0006-0000-0500-000002000000}">
      <text>
        <r>
          <rPr>
            <sz val="11"/>
            <color indexed="81"/>
            <rFont val="Tahoma"/>
            <family val="2"/>
          </rPr>
          <t>This is the core score plus the Innovation points targeted. See the Submission Guidelines for additional detail.</t>
        </r>
        <r>
          <rPr>
            <sz val="8"/>
            <color indexed="81"/>
            <rFont val="Tahoma"/>
            <family val="2"/>
          </rPr>
          <t xml:space="preserve">
</t>
        </r>
      </text>
    </comment>
    <comment ref="O135" authorId="1" shapeId="0" xr:uid="{00000000-0006-0000-0500-000003000000}">
      <text>
        <r>
          <rPr>
            <b/>
            <sz val="10"/>
            <color indexed="81"/>
            <rFont val="Tahoma"/>
            <family val="2"/>
          </rPr>
          <t xml:space="preserve">Ulises Demeneghi: Changed interval to exclude innovation points
</t>
        </r>
      </text>
    </comment>
    <comment ref="O136" authorId="1" shapeId="0" xr:uid="{00000000-0006-0000-0500-000004000000}">
      <text>
        <r>
          <rPr>
            <b/>
            <sz val="10"/>
            <color indexed="81"/>
            <rFont val="Tahoma"/>
            <family val="2"/>
          </rPr>
          <t xml:space="preserve">Ulises Demeneghi: Changed interval to exclude innovation points
</t>
        </r>
      </text>
    </comment>
    <comment ref="O137" authorId="1" shapeId="0" xr:uid="{00000000-0006-0000-0500-000005000000}">
      <text>
        <r>
          <rPr>
            <b/>
            <sz val="10"/>
            <color indexed="81"/>
            <rFont val="Tahoma"/>
            <family val="2"/>
          </rPr>
          <t xml:space="preserve">Ulises Demeneghi: Changed interval to exclude innovation points
</t>
        </r>
      </text>
    </comment>
    <comment ref="Q137" authorId="1" shapeId="0" xr:uid="{00000000-0006-0000-0500-000006000000}">
      <text>
        <r>
          <rPr>
            <b/>
            <sz val="10"/>
            <color indexed="81"/>
            <rFont val="Tahoma"/>
            <family val="2"/>
          </rPr>
          <t xml:space="preserve">Ulises Demeneghi: Changed interval to exclude innovation points
</t>
        </r>
      </text>
    </comment>
    <comment ref="R138" authorId="1" shapeId="0" xr:uid="{00000000-0006-0000-0500-000007000000}">
      <text>
        <r>
          <rPr>
            <b/>
            <sz val="10"/>
            <color indexed="81"/>
            <rFont val="Tahoma"/>
            <family val="2"/>
          </rPr>
          <t xml:space="preserve">Ulises Demeneghi </t>
        </r>
        <r>
          <rPr>
            <sz val="10"/>
            <color indexed="81"/>
            <rFont val="Tahoma"/>
            <family val="2"/>
          </rPr>
          <t xml:space="preserve">
Corrected formula according to the one in Interiors</t>
        </r>
      </text>
    </comment>
  </commentList>
</comments>
</file>

<file path=xl/sharedStrings.xml><?xml version="1.0" encoding="utf-8"?>
<sst xmlns="http://schemas.openxmlformats.org/spreadsheetml/2006/main" count="1284" uniqueCount="422">
  <si>
    <t>Disclaimer, Authorisation and Acknowledgment</t>
  </si>
  <si>
    <t>Change Log</t>
  </si>
  <si>
    <t xml:space="preserve">Please ensure that you use the most up to date version of Green Star NZ scorecards. They are routinely updated, and using the most current version will make filling in your scorecard easier, clearer and accurate.
</t>
  </si>
  <si>
    <t>Scorecard Release</t>
  </si>
  <si>
    <t>Summary of Changes</t>
  </si>
  <si>
    <t>Green Star - Design &amp; As Built NZv1.1</t>
  </si>
  <si>
    <t>Initial release.</t>
  </si>
  <si>
    <t xml:space="preserve">Minor updates. </t>
  </si>
  <si>
    <t>Instructions</t>
  </si>
  <si>
    <t xml:space="preserve">Use the tabs at the bottom of the worksheets to navigate. 
     1. Fill in the appropriate Scorecard based on the stage of the project (either Design Review or As Built).
     2. Fill in the targeted points in the ‘Points Targeted’ column.
     3. Conditional Requirements in the 'Commissioning and Tuning', ' Adapatation and Resilience', 'Greenhouse Gas Emissions', 'Embodied Carbon Emissions' and 'Sustainable Sites' credits, and the minimum requirements in other credits, are required to be selected as 'Complies'.
     4. Credits which have multiple compliance pathways are listed below. Pathways for these credits need to be selected in order to unlock the associated criteria.  
Credits which have alternative compliance pathways:      
• Operational Waste
• Peak Electricity Demand Reduction
• Sustainable Transport 
• Potable Water
• Embodied Carbon Emissions 
• Construction and Demolition Waste
</t>
  </si>
  <si>
    <t>Important Notes</t>
  </si>
  <si>
    <r>
      <rPr>
        <b/>
        <sz val="10"/>
        <color rgb="FF000000"/>
        <rFont val="Arial"/>
        <family val="2"/>
        <scheme val="minor"/>
      </rPr>
      <t xml:space="preserve">
</t>
    </r>
    <r>
      <rPr>
        <sz val="10"/>
        <color rgb="FF000000"/>
        <rFont val="Arial"/>
        <family val="2"/>
        <scheme val="minor"/>
      </rPr>
      <t>• As stated in the Submission Guidelines, some criteria will be considered 'Not Applicable' for certain projects. These credits have a check box in the 'N/A' column of the Scorecard. Criteria should only be selected as 'N/A' where NZGBC approval has been granted. If a criteria is approved as 'Not Applicable', please select the relevant tick box under the 'N/A' column. This will affect the total number of points available and the project's final score. 
• Some credits contain multiple pathways. In these cases project teams are required to select the pathway they have chosen to follow, in doing so the relevant criteria for that pathway will be ‘unlocked’ within the spreadsheet.
• The total number of points within each category is indicated in the headings row at the top of the category. The number of points able to be targeted by the project is dependent on the relevant pathways selected by the project team. The numbers of points able to be targeted are shown in the totals row at the bottom of the category.
EXAMPLE: there are 20 points available in the Energy category. A maximum of 18 points are available for the ‘Greenhouse Gas Emissions’ credit and a maximum of 2 points are available for the ‘Peak Electricity Demand Reduction’ credit. 
If the Reference Building Pathway (15.2) is chosen for the 'Greenhouse Gas Emissions' credit (18 points available) and the Prescriptive Pathway (16A) is chosen for the 'Peak Energy Demand' credit (1 point available), the total number of points able to be targeted by the project will be 19. However, the total number of points available in the category remains at 20 points.</t>
    </r>
    <r>
      <rPr>
        <sz val="10"/>
        <color rgb="FF000000"/>
        <rFont val="Arial"/>
        <family val="2"/>
      </rPr>
      <t xml:space="preserve">
</t>
    </r>
  </si>
  <si>
    <t>Clarification of Assessment Comments</t>
  </si>
  <si>
    <t>A section has been provided within the scorecard worksheet to enable project teams to query assessment comments prior to the following round of assessment. The three types of queries that may be submitted are:
     1. Clarifying the documentation requested in the assessment comment. 
     2. Clarifying apparent inconsistencies between the assessment comment and the Submission Guideline's requirements.
     3. Documentation was included but missed during the assessment.
This section is hidden prior to the project's assessment. The section will be unhidden when project teams receive their project's assessment results.</t>
  </si>
  <si>
    <t>x</t>
  </si>
  <si>
    <t xml:space="preserve">Building Input </t>
  </si>
  <si>
    <t>Name of Building</t>
  </si>
  <si>
    <t>Address of Building</t>
  </si>
  <si>
    <t>Postcode</t>
  </si>
  <si>
    <t>Area Listing (GFA in m²)</t>
  </si>
  <si>
    <t>Office</t>
  </si>
  <si>
    <t>Residential</t>
  </si>
  <si>
    <t>Retail</t>
  </si>
  <si>
    <t>Healthcare</t>
  </si>
  <si>
    <t>Education</t>
  </si>
  <si>
    <t>Industrial</t>
  </si>
  <si>
    <t>Other</t>
  </si>
  <si>
    <t>Total</t>
  </si>
  <si>
    <t>Client Details</t>
  </si>
  <si>
    <t>Client</t>
  </si>
  <si>
    <t>Contact Person</t>
  </si>
  <si>
    <t>Project Team Details</t>
  </si>
  <si>
    <t>Company/Organisation</t>
  </si>
  <si>
    <t>Green Star Accredited Professional</t>
  </si>
  <si>
    <t>Acoustic Consultant</t>
  </si>
  <si>
    <t>Architect</t>
  </si>
  <si>
    <t>Building Services Engineer</t>
  </si>
  <si>
    <t>Building Surveyor</t>
  </si>
  <si>
    <t>ESD Consultant</t>
  </si>
  <si>
    <t>Landscaping Consultant</t>
  </si>
  <si>
    <t>Local Planning Authority</t>
  </si>
  <si>
    <t>Main Contractor</t>
  </si>
  <si>
    <t>Project Manager</t>
  </si>
  <si>
    <t>Quantity Surveyor</t>
  </si>
  <si>
    <t>Structural/Civil Engineer</t>
  </si>
  <si>
    <t>Project Timeline</t>
  </si>
  <si>
    <t>Date (Month/Year)</t>
  </si>
  <si>
    <t>Site Purchase Date</t>
  </si>
  <si>
    <t>Start of Design</t>
  </si>
  <si>
    <t>Completion of Design</t>
  </si>
  <si>
    <t>Start of Construction</t>
  </si>
  <si>
    <t>Practical Completion (Issuance of CCC)</t>
  </si>
  <si>
    <t>Building Description</t>
  </si>
  <si>
    <t>Description of Building</t>
  </si>
  <si>
    <t>USER INPUT CELL</t>
  </si>
  <si>
    <t>Name of Building:</t>
  </si>
  <si>
    <t>Address of Building:</t>
  </si>
  <si>
    <t>LOCKED CELL</t>
  </si>
  <si>
    <t>Postcode:</t>
  </si>
  <si>
    <t>City:</t>
  </si>
  <si>
    <t>Date (MM/YYYY)</t>
  </si>
  <si>
    <t>Site purchase date</t>
  </si>
  <si>
    <t>Start of design</t>
  </si>
  <si>
    <t>Design completed</t>
  </si>
  <si>
    <t>Start of construction</t>
  </si>
  <si>
    <t>Practical Completion</t>
  </si>
  <si>
    <t>Description of building</t>
  </si>
  <si>
    <t>Yes</t>
  </si>
  <si>
    <t>No</t>
  </si>
  <si>
    <r>
      <t xml:space="preserve">Industrial projects: 
</t>
    </r>
    <r>
      <rPr>
        <sz val="10"/>
        <color theme="1"/>
        <rFont val="Arial"/>
        <family val="2"/>
        <scheme val="major"/>
      </rPr>
      <t>Is the project claiming Industrial specific pathways and credits inline with the Green Star Design &amp; As Built Guidance for industrial projects document?</t>
    </r>
  </si>
  <si>
    <t>Note: Projects choosing to use Green Star Design &amp; As Built Guidance for Industrial projects cannot claim "Not Applicable" for cold shell compliance as per the Green Star – Design &amp; As Built NZv1.1 Fitout Scope: Guidance for Integrated, Cold Shell and Warm Shell Fitouts document.</t>
  </si>
  <si>
    <t>Applicant Details</t>
  </si>
  <si>
    <t>Applicant:</t>
  </si>
  <si>
    <t>Contact Person:</t>
  </si>
  <si>
    <t>Green Star - Design &amp; As Built NZv1.1 Scorecard</t>
  </si>
  <si>
    <t xml:space="preserve">ROUND 1 </t>
  </si>
  <si>
    <t>ROUND 2</t>
  </si>
  <si>
    <t>Points Available</t>
  </si>
  <si>
    <t>NA Points</t>
  </si>
  <si>
    <t>NA - T/F</t>
  </si>
  <si>
    <t>Project:</t>
  </si>
  <si>
    <t>Core Points Available</t>
  </si>
  <si>
    <t xml:space="preserve">Total Score Targeted </t>
  </si>
  <si>
    <t>Total Points Awarded</t>
  </si>
  <si>
    <t>Total Points TBC</t>
  </si>
  <si>
    <r>
      <rPr>
        <b/>
        <sz val="16"/>
        <color rgb="FF000000"/>
        <rFont val="Arial"/>
        <family val="2"/>
        <scheme val="minor"/>
      </rPr>
      <t xml:space="preserve">Post Round 1 Clarification </t>
    </r>
    <r>
      <rPr>
        <b/>
        <sz val="11"/>
        <color rgb="FF000000"/>
        <rFont val="Arial"/>
        <family val="2"/>
        <scheme val="minor"/>
      </rPr>
      <t xml:space="preserve">
Please enter type of clarification for each credit as follows:</t>
    </r>
  </si>
  <si>
    <r>
      <rPr>
        <b/>
        <sz val="16"/>
        <color rgb="FF000000"/>
        <rFont val="Arial"/>
        <family val="2"/>
        <scheme val="minor"/>
      </rPr>
      <t xml:space="preserve">Post Round 2 Clarification </t>
    </r>
    <r>
      <rPr>
        <b/>
        <sz val="11"/>
        <color rgb="FF000000"/>
        <rFont val="Arial"/>
        <family val="2"/>
        <scheme val="minor"/>
      </rPr>
      <t xml:space="preserve">
Please enter type of clarification for each credit as follows:</t>
    </r>
  </si>
  <si>
    <r>
      <t xml:space="preserve">1. Documentation Clarification: </t>
    </r>
    <r>
      <rPr>
        <sz val="11"/>
        <color theme="1"/>
        <rFont val="Arial"/>
        <family val="2"/>
        <scheme val="minor"/>
      </rPr>
      <t xml:space="preserve">The project team wish to clarify the documentation requested in the Round 1 Assessment Comment </t>
    </r>
  </si>
  <si>
    <t>Targeted Rating:</t>
  </si>
  <si>
    <r>
      <rPr>
        <b/>
        <sz val="11"/>
        <color theme="1"/>
        <rFont val="Arial"/>
        <family val="2"/>
        <scheme val="minor"/>
      </rPr>
      <t>2. Compliance Criteria:</t>
    </r>
    <r>
      <rPr>
        <sz val="11"/>
        <color theme="1"/>
        <rFont val="Arial"/>
        <family val="2"/>
        <scheme val="minor"/>
      </rPr>
      <t xml:space="preserve">  The project team wish to draw attention to potential differences in expectations between the assessment comment and the Submission Guidelines requirements.</t>
    </r>
  </si>
  <si>
    <t>Does this project contain cold shell 
or integrated fitout spaces?</t>
  </si>
  <si>
    <r>
      <rPr>
        <b/>
        <sz val="11"/>
        <color theme="1"/>
        <rFont val="Arial"/>
        <family val="2"/>
        <scheme val="minor"/>
      </rPr>
      <t xml:space="preserve">3. Check Existing Documentation: </t>
    </r>
    <r>
      <rPr>
        <sz val="11"/>
        <color theme="1"/>
        <rFont val="Arial"/>
        <family val="2"/>
        <scheme val="minor"/>
      </rPr>
      <t xml:space="preserve">The project team wish to draw the Assessors' attention to documentation submitted previously that may have been overlooked during the assessment. </t>
    </r>
  </si>
  <si>
    <t>NA</t>
  </si>
  <si>
    <t>CATEGORY / CREDIT</t>
  </si>
  <si>
    <t>AIM OF THE CREDIT / SELECTION</t>
  </si>
  <si>
    <t>CODE</t>
  </si>
  <si>
    <t>CREDIT CRITERIA</t>
  </si>
  <si>
    <t>POINTS AVAILABLE</t>
  </si>
  <si>
    <t>POINTS TARGETED</t>
  </si>
  <si>
    <t xml:space="preserve"> POINTS AWARDED</t>
  </si>
  <si>
    <t xml:space="preserve"> POINTS 
TBC</t>
  </si>
  <si>
    <t>ASSIGNED STAGE</t>
  </si>
  <si>
    <t>ASSESSOR COMPLETED STAGE</t>
  </si>
  <si>
    <t>OUTCOME</t>
  </si>
  <si>
    <t xml:space="preserve"> Rd1 ASSESSMENT COMMENTS</t>
  </si>
  <si>
    <t>Type</t>
  </si>
  <si>
    <r>
      <t xml:space="preserve">Clarification Request 
</t>
    </r>
    <r>
      <rPr>
        <sz val="11"/>
        <color theme="0"/>
        <rFont val="Arial"/>
        <family val="2"/>
        <scheme val="minor"/>
      </rPr>
      <t>(GSAP to complete)</t>
    </r>
  </si>
  <si>
    <r>
      <t xml:space="preserve">Clarification from Assessors
</t>
    </r>
    <r>
      <rPr>
        <sz val="11"/>
        <color theme="0"/>
        <rFont val="Arial"/>
        <family val="2"/>
        <scheme val="minor"/>
      </rPr>
      <t xml:space="preserve">(To be Completed by Assessors) </t>
    </r>
  </si>
  <si>
    <t xml:space="preserve"> Rd2 ASSESSMENT COMMENTS</t>
  </si>
  <si>
    <r>
      <t xml:space="preserve">Clarification from Assessors
</t>
    </r>
    <r>
      <rPr>
        <sz val="11"/>
        <color theme="0"/>
        <rFont val="Arial"/>
        <family val="2"/>
        <scheme val="minor"/>
      </rPr>
      <t xml:space="preserve">(To be Completed by Assessor) </t>
    </r>
  </si>
  <si>
    <t>Management</t>
  </si>
  <si>
    <t>Assessors comments including Point(s) Awarded/Denied</t>
  </si>
  <si>
    <t>To recognise projects that engage a Green Star Accredited Professional to support the Green Star certification process.</t>
  </si>
  <si>
    <t>Commissioning and Tuning</t>
  </si>
  <si>
    <t>To encourage and recognise commissioning, handover and tuning initiatives that ensure all building services operate to their full potential and as designed.</t>
  </si>
  <si>
    <t xml:space="preserve">Conditional Requirement </t>
  </si>
  <si>
    <t>Performance Pathway</t>
  </si>
  <si>
    <t>Complies</t>
  </si>
  <si>
    <t>Services and Maintainability Review</t>
  </si>
  <si>
    <t>Prescriptive Pathway</t>
  </si>
  <si>
    <t>Core</t>
  </si>
  <si>
    <t>Awarded - Compliant</t>
  </si>
  <si>
    <t>Does not comply</t>
  </si>
  <si>
    <t>Independent Commissioning Agent</t>
  </si>
  <si>
    <t xml:space="preserve">Stage 1 </t>
  </si>
  <si>
    <t>Awarded - Built Streamlining N/A</t>
  </si>
  <si>
    <t>Adaptation and Resilience</t>
  </si>
  <si>
    <t>To encourage and recognise projects that are resilient to the impacts of a changing climate and natural disasters.</t>
  </si>
  <si>
    <t xml:space="preserve">Climate Change Pre-Screening Checklist </t>
  </si>
  <si>
    <t>Stage 2</t>
  </si>
  <si>
    <t>Awarded - Minor non-compliance</t>
  </si>
  <si>
    <t>Climate Change Risk Assessment and Adaptation Plan</t>
  </si>
  <si>
    <t>Not Awarded - Major non-compliance</t>
  </si>
  <si>
    <t xml:space="preserve">Earthquake Resilience </t>
  </si>
  <si>
    <t xml:space="preserve">Type </t>
  </si>
  <si>
    <t>Building Information</t>
  </si>
  <si>
    <t>To recognise the development and provision of building information that facilitates operator and user understanding of a building's systems, their operation and maintenance requirements, and their environmental targets, to enable optimised performance.</t>
  </si>
  <si>
    <t>Commitment to Performance</t>
  </si>
  <si>
    <t>To recognise practices that encourage building owners, building occupants and facilities management teams to set targets and monitor environmental performance in a collaborative way.</t>
  </si>
  <si>
    <t>Environmental Building Performance</t>
  </si>
  <si>
    <t>End of Life Waste Performance</t>
  </si>
  <si>
    <t>Metering and Monitoring</t>
  </si>
  <si>
    <t>To recognise the implementation of effective energy and water metering and monitoring systems.</t>
  </si>
  <si>
    <t>Metering</t>
  </si>
  <si>
    <t>Minimum Requirement</t>
  </si>
  <si>
    <t>Monitoring Systems</t>
  </si>
  <si>
    <t>Responsible Construction Practices</t>
  </si>
  <si>
    <t>To reward responsible construction practices that manage environmental impacts, enhance staff health and wellbeing, and improve sustainability knowledge on site.</t>
  </si>
  <si>
    <t>Environmental Management Plan</t>
  </si>
  <si>
    <t xml:space="preserve">Environmental Management Systems </t>
  </si>
  <si>
    <t>High Quality Staff Support</t>
  </si>
  <si>
    <t>Operational Waste</t>
  </si>
  <si>
    <t>8A</t>
  </si>
  <si>
    <t>Performance Pathway - Specialist Plan</t>
  </si>
  <si>
    <t>8B</t>
  </si>
  <si>
    <t>Prescriptive Pathway - Facilities</t>
  </si>
  <si>
    <t xml:space="preserve">Prescriptive Pathway </t>
  </si>
  <si>
    <t>Indoor Environment Quality</t>
  </si>
  <si>
    <t>Indoor Air Quality</t>
  </si>
  <si>
    <t>To recognise projects that provide high indoor air quality to occupants.</t>
  </si>
  <si>
    <t>Ventilation System Attributes</t>
  </si>
  <si>
    <t>Provision of Outdoor Air</t>
  </si>
  <si>
    <t>Exhaust or Elimination of Pollutants</t>
  </si>
  <si>
    <t>Acoustic Comfort</t>
  </si>
  <si>
    <t>To reward projects that provide appropriate and comfortable acoustic conditions for occupants.</t>
  </si>
  <si>
    <t>Internal Noise Levels</t>
  </si>
  <si>
    <t>Reverberation</t>
  </si>
  <si>
    <t>Acoustic Separation</t>
  </si>
  <si>
    <t>Lighting Comfort</t>
  </si>
  <si>
    <t>To encourage and recognise well-lit spaces that provide a high degree of comfort to users.</t>
  </si>
  <si>
    <t>Minimum Lighting Comfort</t>
  </si>
  <si>
    <t>General Illuminance and Glare Reduction</t>
  </si>
  <si>
    <t>Surface Illuminance</t>
  </si>
  <si>
    <t>Localised Lighting Control</t>
  </si>
  <si>
    <t>Visual Comfort</t>
  </si>
  <si>
    <t>To recognise the delivery of well-lit spaces that provide high levels of visual comfort to building occupants.</t>
  </si>
  <si>
    <t>Glare Reduction</t>
  </si>
  <si>
    <t>Daylight</t>
  </si>
  <si>
    <t>Views</t>
  </si>
  <si>
    <t>Indoor Pollutants</t>
  </si>
  <si>
    <t>To recognise projects that safeguard occupant health through the reduction in internal air pollutant levels.</t>
  </si>
  <si>
    <t>Paints, Adhesives, Sealants and Carpets</t>
  </si>
  <si>
    <t>Engineered Wood Products</t>
  </si>
  <si>
    <t>Thermal Comfort</t>
  </si>
  <si>
    <t>To recognise projects that achieve high levels of thermal comfort.</t>
  </si>
  <si>
    <t>Advanced Thermal Comfort</t>
  </si>
  <si>
    <t>Energy</t>
  </si>
  <si>
    <t>Greenhouse Gas Emissions</t>
  </si>
  <si>
    <t>To encourage energy efficient buildings and the reduction of greenhouse gas (GHG) emissions associated with the use of energy in building operations.</t>
  </si>
  <si>
    <t>Conditional Requirement</t>
  </si>
  <si>
    <t>GHG Emissions Reduction: Reference Building Pathway</t>
  </si>
  <si>
    <t>Peak Electricity Demand Reduction</t>
  </si>
  <si>
    <t>16A</t>
  </si>
  <si>
    <t>Prescriptive Pathway: On-site Energy Generation</t>
  </si>
  <si>
    <t>16B</t>
  </si>
  <si>
    <t>Modelled Performance Pathway: Reference Building</t>
  </si>
  <si>
    <t>Transport</t>
  </si>
  <si>
    <t>Sustainable Transport</t>
  </si>
  <si>
    <t>17B Prescriptive pathway</t>
  </si>
  <si>
    <t>17A</t>
  </si>
  <si>
    <t xml:space="preserve">Performance pathway </t>
  </si>
  <si>
    <t>17B.1</t>
  </si>
  <si>
    <t>Access by Public Transport</t>
  </si>
  <si>
    <t>17A Performance Pathway</t>
  </si>
  <si>
    <t>17B.2</t>
  </si>
  <si>
    <t>Reduced Car Parking Provision</t>
  </si>
  <si>
    <t>17B.3</t>
  </si>
  <si>
    <t>Low Emission Vehicle Infrastructure</t>
  </si>
  <si>
    <t>17B.4</t>
  </si>
  <si>
    <t>Active Transport Facilities</t>
  </si>
  <si>
    <t>17B.5</t>
  </si>
  <si>
    <t>Walkable Neighbourhoods</t>
  </si>
  <si>
    <t>Water</t>
  </si>
  <si>
    <t>Potable Water</t>
  </si>
  <si>
    <t>18A</t>
  </si>
  <si>
    <t>Potable Water - Performance Pathway</t>
  </si>
  <si>
    <t>18B.1</t>
  </si>
  <si>
    <t>Sanitary Fixture Efficiency</t>
  </si>
  <si>
    <t>18B.2</t>
  </si>
  <si>
    <t>Rainwater Reuse</t>
  </si>
  <si>
    <t>18B.3</t>
  </si>
  <si>
    <t>Heat Rejection</t>
  </si>
  <si>
    <t>18B.4</t>
  </si>
  <si>
    <t>Landscape Irrigation</t>
  </si>
  <si>
    <t>18B.5</t>
  </si>
  <si>
    <t>Fire System Test Water</t>
  </si>
  <si>
    <t>Materials</t>
  </si>
  <si>
    <t xml:space="preserve">Life Cycle Impacts </t>
  </si>
  <si>
    <t>Reference Building Pathway - Upfront Carbon Reduction</t>
  </si>
  <si>
    <t>19.1A</t>
  </si>
  <si>
    <t xml:space="preserve">Absolute Value Pathway - Upfront Carbon Reduction </t>
  </si>
  <si>
    <t>Absolute Value Pathway - Upfront Carbon Reduction</t>
  </si>
  <si>
    <t>19.1B</t>
  </si>
  <si>
    <t xml:space="preserve">Reference Building Pathway - Upfront Carbon Reduction </t>
  </si>
  <si>
    <t xml:space="preserve">Comparative Life Cycle Assessment </t>
  </si>
  <si>
    <t>Long-term Carbon Storage</t>
  </si>
  <si>
    <t>Responsible Building Materials</t>
  </si>
  <si>
    <t>To reward projects that include building materials that are responsibly sourced or have a sustainable supply chain.</t>
  </si>
  <si>
    <t>Structural and Reinforcing Steel</t>
  </si>
  <si>
    <t xml:space="preserve">Timber </t>
  </si>
  <si>
    <t>Permanent Formwork, Pipes, Flooring, Blinds and Cables</t>
  </si>
  <si>
    <t>Sustainable Products</t>
  </si>
  <si>
    <t>To encourage sustainability and transparency in product specification.</t>
  </si>
  <si>
    <t>Product Transparency and Sustainability</t>
  </si>
  <si>
    <t>Construction and Demolition Waste</t>
  </si>
  <si>
    <t>Reporting Accuracy</t>
  </si>
  <si>
    <t>Percentage Benchmark</t>
  </si>
  <si>
    <t>22..2A</t>
  </si>
  <si>
    <t>Fixed Benchmark</t>
  </si>
  <si>
    <t>22.2B</t>
  </si>
  <si>
    <t>Land Use &amp; Ecology</t>
  </si>
  <si>
    <t>Ecological Value</t>
  </si>
  <si>
    <t>To reward projects that improve the ecological value of their site.</t>
  </si>
  <si>
    <t>Sustainable Sites</t>
  </si>
  <si>
    <t>To reward projects that choose to develop sites that have limited ecological value, that reuse previously developed land, and that remediate contaminated land.</t>
  </si>
  <si>
    <t>Conditional Requirement: Ecological Protection</t>
  </si>
  <si>
    <t>Reuse of Land</t>
  </si>
  <si>
    <t>Contamination and Hazardous Materials</t>
  </si>
  <si>
    <t>Emissions</t>
  </si>
  <si>
    <t>Stormwater</t>
  </si>
  <si>
    <t>To reward projects that minimise peak storm water outflows from the site and reduce pollutants entering the public sewer infrastructure or other water bodies.</t>
  </si>
  <si>
    <t>Stormwater Peak Discharge</t>
  </si>
  <si>
    <t>Stormwater Pollution Targets</t>
  </si>
  <si>
    <t>Light Pollution</t>
  </si>
  <si>
    <t>To reward projects that minimise light pollution.</t>
  </si>
  <si>
    <t>Light Pollution to Neighbouring Bodies</t>
  </si>
  <si>
    <t>Light Pollution to Night Sky</t>
  </si>
  <si>
    <t>Microbial Control</t>
  </si>
  <si>
    <t>To recognise projects that implement systems to minimise the impacts associated with harmful microbes in building cooling systems.</t>
  </si>
  <si>
    <t>Legionella Impacts from Cooling Systems</t>
  </si>
  <si>
    <t>Refrigerant Impacts</t>
  </si>
  <si>
    <t>To encourage practices that minimise the environmental impacts of refrigeration and air conditioning equipment.</t>
  </si>
  <si>
    <t>Refrigerants Impacts</t>
  </si>
  <si>
    <t>Innovation</t>
  </si>
  <si>
    <t>Innovative Technology or Process</t>
  </si>
  <si>
    <t>The project meets the aims of an existing credit using a technology or process that is considered innovative in New Zealand or the world.</t>
  </si>
  <si>
    <t>Market Transformation</t>
  </si>
  <si>
    <t>The project has undertaken a sustainability initiative that substantially contributes to the broader market transformation towards sustainable development in New Zealand or in the world.</t>
  </si>
  <si>
    <t>Improving on Green Star Benchmarks</t>
  </si>
  <si>
    <t>The project has achieved full points in a Green Star credit and demonstrates a substantial improvement on the benchmark required to achieve full points.
For credits where this Innovation criterion is applicable, improved benchmarks are included in the ‘Innovation’ section of the credit.</t>
  </si>
  <si>
    <t>Innovation Challenge</t>
  </si>
  <si>
    <t>The project can target any of the current Innovation Challenges that are published on the NZGBC and GBCA website. Alternatively, where the project addresses a sustainability issue not included within any of the credits in the existing Green Star rating tools, projects may propose a new Innovation Challenge.</t>
  </si>
  <si>
    <t>Global Sustainability</t>
  </si>
  <si>
    <t>Project teams may adopt an approved credit from a Global Green Building Rating tool that addresses a sustainability issue that is currently outside the scope of this Green Star rating tool.</t>
  </si>
  <si>
    <t>TOTAL NA POINTS</t>
  </si>
  <si>
    <t>TOTALS</t>
  </si>
  <si>
    <t>AVAILABLE</t>
  </si>
  <si>
    <t>TARGETED</t>
  </si>
  <si>
    <t>AWARDED</t>
  </si>
  <si>
    <t>TBC</t>
  </si>
  <si>
    <t>CORE POINTS</t>
  </si>
  <si>
    <t>CATEGORY PERCENTAGE SCORE</t>
  </si>
  <si>
    <t>INNOVATION POINTS</t>
  </si>
  <si>
    <t>TOTAL SCORE TARGETED</t>
  </si>
  <si>
    <t>Stage Count</t>
  </si>
  <si>
    <t>Assessor Stage Count</t>
  </si>
  <si>
    <t>Outcome Count</t>
  </si>
  <si>
    <t>Assessment result</t>
  </si>
  <si>
    <t>Stage 1</t>
  </si>
  <si>
    <t>Stage 3</t>
  </si>
  <si>
    <t>Green Star - Design &amp; As Built NZv1.0 Scorecard</t>
  </si>
  <si>
    <t>SUBMISSION PLANNING</t>
  </si>
  <si>
    <t>Category</t>
  </si>
  <si>
    <t>Fixed Total</t>
  </si>
  <si>
    <t>Variable Total</t>
  </si>
  <si>
    <t>Points Claimed</t>
  </si>
  <si>
    <t>Points Awarded</t>
  </si>
  <si>
    <t>Points TBC</t>
  </si>
  <si>
    <t>Accredited Professional</t>
  </si>
  <si>
    <t>Environmental Performance Targets</t>
  </si>
  <si>
    <t>Building Commissioning</t>
  </si>
  <si>
    <t>Building Systems Tuning</t>
  </si>
  <si>
    <t>Implementation of a Climate Adaptation Plan</t>
  </si>
  <si>
    <t>Land Use and Ecology</t>
  </si>
  <si>
    <t>Adaptation &amp; Resilience: Earthquake Resilience</t>
  </si>
  <si>
    <t>Total Points Available</t>
  </si>
  <si>
    <t>Total Score</t>
  </si>
  <si>
    <t>Weight score i.e. accounting for N/As.</t>
  </si>
  <si>
    <t>Total Final Score</t>
  </si>
  <si>
    <t>Final score i.e. weighted score + Innovation</t>
  </si>
  <si>
    <t>Responsible Building Practices</t>
  </si>
  <si>
    <t>Formalised Environmental Management System</t>
  </si>
  <si>
    <t>15E.0</t>
  </si>
  <si>
    <t>Conditional Requirement: Reference Building Pathway</t>
  </si>
  <si>
    <t>15E.1</t>
  </si>
  <si>
    <t>Reference Building Pathway</t>
  </si>
  <si>
    <t>To reward projects that implement design and operational measures that reduce the carbon emissions arising from occupant travel to and from the project, when compared to a reference building. This also promotes the health and fitness of commuters, and the increased liveability of the location.</t>
  </si>
  <si>
    <t>18A.1</t>
  </si>
  <si>
    <t>Life Cycle Assessment/Impacts</t>
  </si>
  <si>
    <t>Prescriptive Pathway - Life Cycle Impacts</t>
  </si>
  <si>
    <t>19A.1</t>
  </si>
  <si>
    <t>Comparative Life Cycle Assessment</t>
  </si>
  <si>
    <t>19A.2</t>
  </si>
  <si>
    <t>Additional Reporting</t>
  </si>
  <si>
    <t>19B.1</t>
  </si>
  <si>
    <t>Concrete</t>
  </si>
  <si>
    <t>19B.2</t>
  </si>
  <si>
    <t>Steel</t>
  </si>
  <si>
    <t>19B.3</t>
  </si>
  <si>
    <t>Building Reuse</t>
  </si>
  <si>
    <t>Structural Timber</t>
  </si>
  <si>
    <t>22A</t>
  </si>
  <si>
    <t>22B</t>
  </si>
  <si>
    <t>Performance Pathway - Life Cycle Assessment</t>
  </si>
  <si>
    <t>Endangered, Threatened or Vulnerable Species</t>
  </si>
  <si>
    <t>The project meets the aims of an existing credit using a technology or process that is considered innovative in Australia or the world.</t>
  </si>
  <si>
    <t>30A</t>
  </si>
  <si>
    <t>The project has undertaken a sustainability initiative that substantially contributes to the broader market transformation towards sustainable development in Australia or in the world.</t>
  </si>
  <si>
    <t>30B</t>
  </si>
  <si>
    <t>The project has achieved full points in a Green Star credit and demonstrates a substantial improvement on the benchmark required to achieve full points.</t>
  </si>
  <si>
    <t>30C</t>
  </si>
  <si>
    <t>Where the project addresses an sustainability issue not included within any of the Credits in the existing Green Star rating tools.</t>
  </si>
  <si>
    <t>30D</t>
  </si>
  <si>
    <t>Project teams may adopt an approved credit from a Global Green Building Rating tool that addresses a sustainability issue that is currently outside the scope of this Green Star rating tools.</t>
  </si>
  <si>
    <t>30E</t>
  </si>
  <si>
    <t>Green Star NZ - Design &amp; As Built Pilot Scorecard</t>
  </si>
  <si>
    <t>X</t>
  </si>
  <si>
    <t>R1</t>
  </si>
  <si>
    <r>
      <rPr>
        <b/>
        <sz val="11"/>
        <color theme="1"/>
        <rFont val="Arial"/>
        <family val="2"/>
      </rPr>
      <t>Query Type</t>
    </r>
    <r>
      <rPr>
        <sz val="11"/>
        <color theme="1"/>
        <rFont val="Arial"/>
        <family val="2"/>
      </rPr>
      <t xml:space="preserve">
1. Clarifying the documentation requested in the assessment comment. 
2. Clarifying apparent inconsistencies between the assessment comment and Submission Guideline requirements.
3. Documentation was included but missed during the assessment.</t>
    </r>
  </si>
  <si>
    <t xml:space="preserve"> ASSESSMENT COMMENTS</t>
  </si>
  <si>
    <t>QUERY TYPE</t>
  </si>
  <si>
    <t>Round 1 Query</t>
  </si>
  <si>
    <t>Requested Action by the project team</t>
  </si>
  <si>
    <t>NZGBC Comments</t>
  </si>
  <si>
    <t>Assessor Response</t>
  </si>
  <si>
    <t>1,2 or 3</t>
  </si>
  <si>
    <t>Provide an explanation of the project team’s questions/comments regarding the assessment comments.</t>
  </si>
  <si>
    <t>Explain what action the project would like taken, e.g. comment be clarified, comment be removed, point awarded, etc.</t>
  </si>
  <si>
    <t>To recognise the appointment and active involvement of a Green Star Accredited Professional in order to ensure that the rating tool is applied effectively and as intended.</t>
  </si>
  <si>
    <t>To encourage and recognise commissioning, handover and tuning initiatives that ensure all building services operate to their full potential.</t>
  </si>
  <si>
    <t>-</t>
  </si>
  <si>
    <t>To recognise the development and provision of building information that facilitates understanding of a building's systems, operation and maintenance requirements, and environmental targets to enable the optimised performance.</t>
  </si>
  <si>
    <t>To reward projects that use best practice formal environmental management procedures during construction.</t>
  </si>
  <si>
    <t>To recognise projects that provide high air quality to occupants.</t>
  </si>
  <si>
    <t>To encourage and recognise projects that achieve high levels of thermal comfort.</t>
  </si>
  <si>
    <t>A. Prescriptive Pathway</t>
  </si>
  <si>
    <t>15A.0</t>
  </si>
  <si>
    <t>Conditional Requirement: Prescriptive Pathway</t>
  </si>
  <si>
    <t>15A.1</t>
  </si>
  <si>
    <t>Building Envelope</t>
  </si>
  <si>
    <t xml:space="preserve">B. NatHERS Pathway </t>
  </si>
  <si>
    <t>15A.2</t>
  </si>
  <si>
    <t>Glazing</t>
  </si>
  <si>
    <t>C. BASIX Pathway</t>
  </si>
  <si>
    <t>15A.3</t>
  </si>
  <si>
    <t>Lighting</t>
  </si>
  <si>
    <t>D. NABERS Pathway</t>
  </si>
  <si>
    <t>15A.4</t>
  </si>
  <si>
    <t>Ventilation and Air-conditioning</t>
  </si>
  <si>
    <t>E. Modelled Performance Pathway</t>
  </si>
  <si>
    <t>15A.5</t>
  </si>
  <si>
    <t>Domestic Hot Water Systems</t>
  </si>
  <si>
    <t>15A.6</t>
  </si>
  <si>
    <t>Accredited GreenPower</t>
  </si>
  <si>
    <t>15B.0</t>
  </si>
  <si>
    <t>Conditional Requirement: NatHERS Pathway</t>
  </si>
  <si>
    <t>15B.1</t>
  </si>
  <si>
    <t>NatHERS Pathway</t>
  </si>
  <si>
    <t>15C.0</t>
  </si>
  <si>
    <t>Conditional Requirement: BASIX Pathway</t>
  </si>
  <si>
    <t>15C.1</t>
  </si>
  <si>
    <t>BASIX Pathway</t>
  </si>
  <si>
    <t>15D.0</t>
  </si>
  <si>
    <t>Conditional Requirement: NABERS Pathway</t>
  </si>
  <si>
    <t>15D.1</t>
  </si>
  <si>
    <t>NABERS Energy Commitment Agreement Pathway</t>
  </si>
  <si>
    <t>Comparison to a Reference Building Pathway</t>
  </si>
  <si>
    <t>Prescriptive Pathway - On-site Energy Generation</t>
  </si>
  <si>
    <t>Performance Pathway - Reference Building</t>
  </si>
  <si>
    <t>17A.1</t>
  </si>
  <si>
    <t>Life Cycle Impacts</t>
  </si>
  <si>
    <t>Additional Life Cycle Impact Reporting</t>
  </si>
  <si>
    <t xml:space="preserve">To reward projects that include materials that are responsibly sourced or have a sustainable supply chain. </t>
  </si>
  <si>
    <t>Timber Products</t>
  </si>
  <si>
    <t xml:space="preserve">To encourage sustainability and transparency in product specification. </t>
  </si>
  <si>
    <t>To reward projects that choose to develop sites that have limited ecological value, re-use previously developed land and remediate contaminate land.</t>
  </si>
  <si>
    <t>Heat Island Effect</t>
  </si>
  <si>
    <t>To encourage and recognise projects that reduce the contribution of the project site to the heat island effect.</t>
  </si>
  <si>
    <t>Heat Island Effect Reduction</t>
  </si>
  <si>
    <t>To reward projects that minimise peak stormwater flows and reduce pollutants entering public sewer infrastructure.</t>
  </si>
  <si>
    <t>To recognise projects that implement systems to minimise the impacts associated with harmful microbes in building systems.</t>
  </si>
  <si>
    <t>To encourage operational practices that minimise the environmental impacts of refrigeration 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</si>
</sst>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C09]dd\-mmm\-yy;@"/>
  </numFmts>
  <fonts count="87">
    <font>
      <sz val="11"/>
      <color theme="1"/>
      <name val="Arial"/>
      <family val="2"/>
      <scheme val="minor"/>
    </font>
    <font>
      <b/>
      <sz val="12"/>
      <color theme="0"/>
      <name val="Arial"/>
      <family val="2"/>
      <scheme val="minor"/>
    </font>
    <font>
      <sz val="10"/>
      <color theme="1"/>
      <name val="Arial"/>
      <family val="2"/>
      <scheme val="minor"/>
    </font>
    <font>
      <sz val="12"/>
      <color theme="1"/>
      <name val="Arial"/>
      <family val="2"/>
      <scheme val="minor"/>
    </font>
    <font>
      <b/>
      <sz val="11"/>
      <color theme="0"/>
      <name val="Arial"/>
      <family val="2"/>
      <scheme val="minor"/>
    </font>
    <font>
      <b/>
      <sz val="14"/>
      <color theme="0"/>
      <name val="Arial"/>
      <family val="2"/>
      <scheme val="minor"/>
    </font>
    <font>
      <sz val="10"/>
      <name val="Arial"/>
      <family val="2"/>
      <scheme val="minor"/>
    </font>
    <font>
      <sz val="14"/>
      <color theme="1"/>
      <name val="Arial"/>
      <family val="2"/>
      <scheme val="minor"/>
    </font>
    <font>
      <b/>
      <sz val="12"/>
      <name val="Arial"/>
      <family val="2"/>
      <scheme val="minor"/>
    </font>
    <font>
      <sz val="11"/>
      <color theme="1"/>
      <name val="Arial"/>
      <family val="2"/>
      <scheme val="minor"/>
    </font>
    <font>
      <sz val="11"/>
      <name val="Arial"/>
      <family val="2"/>
      <scheme val="minor"/>
    </font>
    <font>
      <sz val="10"/>
      <name val="Arial"/>
      <family val="2"/>
    </font>
    <font>
      <sz val="11"/>
      <color theme="0"/>
      <name val="Arial"/>
      <family val="2"/>
      <scheme val="minor"/>
    </font>
    <font>
      <sz val="11"/>
      <color theme="8" tint="0.39997558519241921"/>
      <name val="Arial"/>
      <family val="2"/>
      <scheme val="minor"/>
    </font>
    <font>
      <b/>
      <sz val="12"/>
      <color theme="1"/>
      <name val="Arial"/>
      <family val="2"/>
      <scheme val="minor"/>
    </font>
    <font>
      <b/>
      <sz val="14"/>
      <color theme="1"/>
      <name val="Century Gothic"/>
      <family val="2"/>
    </font>
    <font>
      <b/>
      <sz val="11"/>
      <color theme="1"/>
      <name val="Arial"/>
      <family val="2"/>
      <scheme val="minor"/>
    </font>
    <font>
      <sz val="11"/>
      <name val="Century Gothic"/>
      <family val="2"/>
    </font>
    <font>
      <b/>
      <sz val="10"/>
      <color rgb="FFFF0000"/>
      <name val="Arial"/>
      <family val="2"/>
      <scheme val="minor"/>
    </font>
    <font>
      <b/>
      <sz val="11"/>
      <name val="Arial"/>
      <family val="2"/>
      <scheme val="minor"/>
    </font>
    <font>
      <b/>
      <sz val="12"/>
      <color rgb="FFFF0000"/>
      <name val="Arial"/>
      <family val="2"/>
      <scheme val="minor"/>
    </font>
    <font>
      <sz val="10"/>
      <name val="Verdana"/>
      <family val="2"/>
    </font>
    <font>
      <sz val="8"/>
      <name val="Arial"/>
      <family val="2"/>
    </font>
    <font>
      <b/>
      <sz val="11"/>
      <name val="Arial"/>
      <family val="2"/>
    </font>
    <font>
      <sz val="11"/>
      <name val="Arial"/>
      <family val="2"/>
    </font>
    <font>
      <b/>
      <sz val="11"/>
      <color rgb="FFFF0000"/>
      <name val="Arial"/>
      <family val="2"/>
      <scheme val="minor"/>
    </font>
    <font>
      <b/>
      <sz val="12"/>
      <color theme="1"/>
      <name val="Century Gothic"/>
      <family val="2"/>
    </font>
    <font>
      <b/>
      <sz val="12"/>
      <color rgb="FFFF0000"/>
      <name val="Century Gothic"/>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theme="1"/>
      <name val="Century Gothic"/>
      <family val="2"/>
    </font>
    <font>
      <sz val="8"/>
      <color indexed="81"/>
      <name val="Tahoma"/>
      <family val="2"/>
    </font>
    <font>
      <b/>
      <sz val="24"/>
      <color rgb="FF1F3860"/>
      <name val="Arial Black"/>
      <family val="2"/>
    </font>
    <font>
      <sz val="24"/>
      <color rgb="FF002060"/>
      <name val="Arial Black"/>
      <family val="2"/>
    </font>
    <font>
      <b/>
      <sz val="14"/>
      <color theme="1"/>
      <name val="Arial Black"/>
      <family val="2"/>
    </font>
    <font>
      <b/>
      <sz val="14"/>
      <color theme="1"/>
      <name val="Arial"/>
      <family val="2"/>
      <scheme val="minor"/>
    </font>
    <font>
      <sz val="11"/>
      <color indexed="81"/>
      <name val="Tahoma"/>
      <family val="2"/>
    </font>
    <font>
      <sz val="11"/>
      <color indexed="81"/>
      <name val="Arial"/>
      <family val="2"/>
    </font>
    <font>
      <b/>
      <sz val="10"/>
      <name val="Arial"/>
      <family val="2"/>
    </font>
    <font>
      <b/>
      <sz val="14"/>
      <name val="Arial"/>
      <family val="2"/>
    </font>
    <font>
      <sz val="9"/>
      <color theme="1"/>
      <name val="Arial"/>
      <family val="2"/>
    </font>
    <font>
      <b/>
      <sz val="12"/>
      <name val="Arial"/>
      <family val="2"/>
    </font>
    <font>
      <b/>
      <sz val="10"/>
      <color theme="0"/>
      <name val="Arial"/>
      <family val="2"/>
    </font>
    <font>
      <sz val="10"/>
      <color rgb="FF000000"/>
      <name val="Arial"/>
      <family val="2"/>
      <scheme val="minor"/>
    </font>
    <font>
      <sz val="10"/>
      <color theme="0"/>
      <name val="Arial"/>
      <family val="2"/>
    </font>
    <font>
      <sz val="11"/>
      <color theme="1"/>
      <name val="Arial"/>
      <family val="2"/>
    </font>
    <font>
      <b/>
      <sz val="11"/>
      <color theme="1"/>
      <name val="Arial"/>
      <family val="2"/>
    </font>
    <font>
      <sz val="11"/>
      <color rgb="FF000000"/>
      <name val="Arial"/>
      <family val="2"/>
    </font>
    <font>
      <b/>
      <sz val="14"/>
      <color theme="0"/>
      <name val="Arial"/>
      <family val="2"/>
    </font>
    <font>
      <sz val="10"/>
      <name val="Century Gothic"/>
      <family val="2"/>
    </font>
    <font>
      <sz val="9"/>
      <name val="Arial"/>
      <family val="2"/>
      <scheme val="minor"/>
    </font>
    <font>
      <b/>
      <sz val="10"/>
      <name val="Arial"/>
      <family val="2"/>
      <scheme val="minor"/>
    </font>
    <font>
      <b/>
      <sz val="10"/>
      <color indexed="81"/>
      <name val="Tahoma"/>
      <family val="2"/>
    </font>
    <font>
      <sz val="10"/>
      <color indexed="81"/>
      <name val="Tahoma"/>
      <family val="2"/>
    </font>
    <font>
      <b/>
      <sz val="20"/>
      <color rgb="FF1F3860"/>
      <name val="Arial Black"/>
      <family val="2"/>
    </font>
    <font>
      <sz val="10"/>
      <color rgb="FFFF0000"/>
      <name val="Arial"/>
      <family val="2"/>
      <scheme val="minor"/>
    </font>
    <font>
      <b/>
      <sz val="10"/>
      <color rgb="FF000000"/>
      <name val="Arial"/>
      <family val="2"/>
      <scheme val="minor"/>
    </font>
    <font>
      <sz val="10"/>
      <color rgb="FF000000"/>
      <name val="Arial"/>
      <family val="2"/>
    </font>
    <font>
      <b/>
      <sz val="20"/>
      <color rgb="FF1F3860"/>
      <name val="Arial"/>
      <family val="2"/>
      <scheme val="minor"/>
    </font>
    <font>
      <b/>
      <sz val="11"/>
      <color rgb="FF000000"/>
      <name val="Arial"/>
      <family val="2"/>
      <scheme val="minor"/>
    </font>
    <font>
      <b/>
      <sz val="16"/>
      <color rgb="FF000000"/>
      <name val="Arial"/>
      <family val="2"/>
      <scheme val="minor"/>
    </font>
    <font>
      <sz val="11"/>
      <name val="Arial"/>
      <family val="2"/>
      <scheme val="major"/>
    </font>
    <font>
      <b/>
      <sz val="11"/>
      <color theme="0"/>
      <name val="Arial"/>
      <family val="2"/>
      <scheme val="major"/>
    </font>
    <font>
      <b/>
      <sz val="9"/>
      <color theme="1"/>
      <name val="Arial"/>
      <family val="2"/>
      <scheme val="major"/>
    </font>
    <font>
      <b/>
      <sz val="10"/>
      <color theme="1"/>
      <name val="Arial"/>
      <family val="2"/>
      <scheme val="major"/>
    </font>
    <font>
      <sz val="10"/>
      <color theme="1"/>
      <name val="Arial"/>
      <family val="2"/>
      <scheme val="major"/>
    </font>
    <font>
      <sz val="10"/>
      <name val="Arial"/>
      <family val="2"/>
      <scheme val="major"/>
    </font>
    <font>
      <b/>
      <sz val="11"/>
      <name val="Arial"/>
      <family val="2"/>
      <scheme val="major"/>
    </font>
    <font>
      <i/>
      <sz val="11"/>
      <color theme="0"/>
      <name val="Arial"/>
      <family val="2"/>
      <scheme val="major"/>
    </font>
    <font>
      <b/>
      <sz val="11"/>
      <color theme="1"/>
      <name val="Arial"/>
      <family val="2"/>
      <scheme val="major"/>
    </font>
    <font>
      <i/>
      <sz val="11"/>
      <color rgb="FF1F3862"/>
      <name val="Arial"/>
      <family val="2"/>
      <scheme val="major"/>
    </font>
    <font>
      <sz val="11"/>
      <color rgb="FFFF0000"/>
      <name val="Arial"/>
      <family val="2"/>
      <scheme val="minor"/>
    </font>
  </fonts>
  <fills count="32">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4" tint="0.79998168889431442"/>
        <bgColor indexed="65"/>
      </patternFill>
    </fill>
    <fill>
      <patternFill patternType="solid">
        <fgColor theme="5" tint="0.39997558519241921"/>
        <bgColor indexed="65"/>
      </patternFill>
    </fill>
    <fill>
      <patternFill patternType="solid">
        <fgColor theme="3" tint="0.79998168889431442"/>
        <bgColor indexed="64"/>
      </patternFill>
    </fill>
    <fill>
      <patternFill patternType="solid">
        <fgColor rgb="FF000000"/>
        <bgColor indexed="64"/>
      </patternFill>
    </fill>
    <fill>
      <patternFill patternType="solid">
        <fgColor rgb="FF1F3862"/>
        <bgColor indexed="64"/>
      </patternFill>
    </fill>
    <fill>
      <patternFill patternType="solid">
        <fgColor theme="8" tint="0.79998168889431442"/>
        <bgColor indexed="64"/>
      </patternFill>
    </fill>
    <fill>
      <patternFill patternType="solid">
        <fgColor indexed="9"/>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6"/>
      </patternFill>
    </fill>
    <fill>
      <patternFill patternType="solid">
        <fgColor indexed="55"/>
      </patternFill>
    </fill>
    <fill>
      <patternFill patternType="solid">
        <fgColor indexed="42"/>
      </patternFill>
    </fill>
    <fill>
      <patternFill patternType="solid">
        <fgColor theme="4" tint="0.79998168889431442"/>
        <bgColor indexed="64"/>
      </patternFill>
    </fill>
    <fill>
      <patternFill patternType="solid">
        <fgColor indexed="43"/>
        <bgColor indexed="64"/>
      </patternFill>
    </fill>
    <fill>
      <patternFill patternType="solid">
        <fgColor indexed="44"/>
        <bgColor indexed="64"/>
      </patternFill>
    </fill>
    <fill>
      <patternFill patternType="solid">
        <fgColor indexed="20"/>
        <bgColor indexed="64"/>
      </patternFill>
    </fill>
    <fill>
      <patternFill patternType="solid">
        <fgColor theme="3" tint="-0.499984740745262"/>
        <bgColor indexed="64"/>
      </patternFill>
    </fill>
    <fill>
      <patternFill patternType="solid">
        <fgColor theme="1"/>
        <bgColor indexed="64"/>
      </patternFill>
    </fill>
    <fill>
      <patternFill patternType="solid">
        <fgColor theme="8" tint="-0.499984740745262"/>
        <bgColor indexed="64"/>
      </patternFill>
    </fill>
    <fill>
      <patternFill patternType="solid">
        <fgColor theme="2" tint="-0.14999847407452621"/>
        <bgColor indexed="64"/>
      </patternFill>
    </fill>
  </fills>
  <borders count="60">
    <border>
      <left/>
      <right/>
      <top/>
      <bottom/>
      <diagonal/>
    </border>
    <border>
      <left/>
      <right style="hair">
        <color theme="4"/>
      </right>
      <top/>
      <bottom/>
      <diagonal/>
    </border>
    <border>
      <left style="hair">
        <color theme="4"/>
      </left>
      <right style="hair">
        <color theme="4"/>
      </right>
      <top/>
      <bottom style="hair">
        <color theme="4"/>
      </bottom>
      <diagonal/>
    </border>
    <border>
      <left/>
      <right/>
      <top/>
      <bottom style="thin">
        <color theme="6"/>
      </bottom>
      <diagonal/>
    </border>
    <border>
      <left/>
      <right/>
      <top style="hair">
        <color auto="1"/>
      </top>
      <bottom style="hair">
        <color auto="1"/>
      </bottom>
      <diagonal/>
    </border>
    <border>
      <left style="hair">
        <color auto="1"/>
      </left>
      <right style="hair">
        <color auto="1"/>
      </right>
      <top style="hair">
        <color auto="1"/>
      </top>
      <bottom style="hair">
        <color auto="1"/>
      </bottom>
      <diagonal/>
    </border>
    <border>
      <left/>
      <right/>
      <top style="hair">
        <color auto="1"/>
      </top>
      <bottom/>
      <diagonal/>
    </border>
    <border>
      <left/>
      <right/>
      <top/>
      <bottom style="hair">
        <color auto="1"/>
      </bottom>
      <diagonal/>
    </border>
    <border>
      <left/>
      <right style="hair">
        <color auto="1"/>
      </right>
      <top/>
      <bottom style="hair">
        <color auto="1"/>
      </bottom>
      <diagonal/>
    </border>
    <border>
      <left style="hair">
        <color theme="4"/>
      </left>
      <right style="hair">
        <color auto="1"/>
      </right>
      <top/>
      <bottom style="hair">
        <color theme="4"/>
      </bottom>
      <diagonal/>
    </border>
    <border>
      <left style="hair">
        <color auto="1"/>
      </left>
      <right style="hair">
        <color auto="1"/>
      </right>
      <top/>
      <bottom style="hair">
        <color theme="4"/>
      </bottom>
      <diagonal/>
    </border>
    <border>
      <left style="hair">
        <color auto="1"/>
      </left>
      <right style="hair">
        <color theme="4"/>
      </right>
      <top style="hair">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diagonal/>
    </border>
    <border>
      <left style="hair">
        <color auto="1"/>
      </left>
      <right style="hair">
        <color theme="4"/>
      </right>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diagonal/>
    </border>
    <border>
      <left style="hair">
        <color auto="1"/>
      </left>
      <right style="hair">
        <color auto="1"/>
      </right>
      <top style="hair">
        <color auto="1"/>
      </top>
      <bottom style="hair">
        <color theme="4"/>
      </bottom>
      <diagonal/>
    </border>
    <border>
      <left style="hair">
        <color auto="1"/>
      </left>
      <right style="hair">
        <color auto="1"/>
      </right>
      <top/>
      <bottom/>
      <diagonal/>
    </border>
    <border>
      <left style="hair">
        <color auto="1"/>
      </left>
      <right style="hair">
        <color theme="4"/>
      </right>
      <top style="hair">
        <color auto="1"/>
      </top>
      <bottom/>
      <diagonal/>
    </border>
    <border>
      <left style="hair">
        <color theme="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hair">
        <color auto="1"/>
      </left>
      <right/>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right style="hair">
        <color theme="4"/>
      </right>
      <top style="hair">
        <color auto="1"/>
      </top>
      <bottom style="hair">
        <color auto="1"/>
      </bottom>
      <diagonal/>
    </border>
    <border>
      <left style="hair">
        <color auto="1"/>
      </left>
      <right/>
      <top/>
      <bottom/>
      <diagonal/>
    </border>
    <border>
      <left style="hair">
        <color auto="1"/>
      </left>
      <right style="hair">
        <color auto="1"/>
      </right>
      <top style="hair">
        <color theme="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s>
  <cellStyleXfs count="235">
    <xf numFmtId="0" fontId="0" fillId="0" borderId="0"/>
    <xf numFmtId="165" fontId="11" fillId="0" borderId="0"/>
    <xf numFmtId="0" fontId="9" fillId="4" borderId="4" applyNumberFormat="0" applyAlignment="0" applyProtection="0"/>
    <xf numFmtId="0" fontId="12" fillId="5" borderId="0" applyNumberFormat="0" applyBorder="0" applyAlignment="0" applyProtection="0"/>
    <xf numFmtId="0" fontId="4" fillId="7" borderId="0">
      <alignment horizontal="center" vertical="center" wrapText="1"/>
      <protection locked="0"/>
    </xf>
    <xf numFmtId="0" fontId="13" fillId="9" borderId="4">
      <alignment vertical="center"/>
    </xf>
    <xf numFmtId="165" fontId="11" fillId="0" borderId="0"/>
    <xf numFmtId="165" fontId="21" fillId="0" borderId="0"/>
    <xf numFmtId="0" fontId="21" fillId="0" borderId="0"/>
    <xf numFmtId="165" fontId="9" fillId="0" borderId="0"/>
    <xf numFmtId="165" fontId="28" fillId="10" borderId="0" applyNumberFormat="0" applyBorder="0" applyAlignment="0" applyProtection="0"/>
    <xf numFmtId="165" fontId="28" fillId="10" borderId="0" applyNumberFormat="0" applyBorder="0" applyAlignment="0" applyProtection="0"/>
    <xf numFmtId="165" fontId="28" fillId="10" borderId="0" applyNumberFormat="0" applyBorder="0" applyAlignment="0" applyProtection="0"/>
    <xf numFmtId="165" fontId="28" fillId="10" borderId="0" applyNumberFormat="0" applyBorder="0" applyAlignment="0" applyProtection="0"/>
    <xf numFmtId="165" fontId="28" fillId="10" borderId="0" applyNumberFormat="0" applyBorder="0" applyAlignment="0" applyProtection="0"/>
    <xf numFmtId="165" fontId="28" fillId="11" borderId="0" applyNumberFormat="0" applyBorder="0" applyAlignment="0" applyProtection="0"/>
    <xf numFmtId="165" fontId="28" fillId="11" borderId="0" applyNumberFormat="0" applyBorder="0" applyAlignment="0" applyProtection="0"/>
    <xf numFmtId="165" fontId="28" fillId="11" borderId="0" applyNumberFormat="0" applyBorder="0" applyAlignment="0" applyProtection="0"/>
    <xf numFmtId="165" fontId="28" fillId="11" borderId="0" applyNumberFormat="0" applyBorder="0" applyAlignment="0" applyProtection="0"/>
    <xf numFmtId="165" fontId="28" fillId="11" borderId="0" applyNumberFormat="0" applyBorder="0" applyAlignment="0" applyProtection="0"/>
    <xf numFmtId="165" fontId="28" fillId="12" borderId="0" applyNumberFormat="0" applyBorder="0" applyAlignment="0" applyProtection="0"/>
    <xf numFmtId="165" fontId="28" fillId="12" borderId="0" applyNumberFormat="0" applyBorder="0" applyAlignment="0" applyProtection="0"/>
    <xf numFmtId="165" fontId="28" fillId="12" borderId="0" applyNumberFormat="0" applyBorder="0" applyAlignment="0" applyProtection="0"/>
    <xf numFmtId="165" fontId="28" fillId="12" borderId="0" applyNumberFormat="0" applyBorder="0" applyAlignment="0" applyProtection="0"/>
    <xf numFmtId="165" fontId="28" fillId="12" borderId="0" applyNumberFormat="0" applyBorder="0" applyAlignment="0" applyProtection="0"/>
    <xf numFmtId="165" fontId="28" fillId="10" borderId="0" applyNumberFormat="0" applyBorder="0" applyAlignment="0" applyProtection="0"/>
    <xf numFmtId="165" fontId="28" fillId="10" borderId="0" applyNumberFormat="0" applyBorder="0" applyAlignment="0" applyProtection="0"/>
    <xf numFmtId="165" fontId="28" fillId="10" borderId="0" applyNumberFormat="0" applyBorder="0" applyAlignment="0" applyProtection="0"/>
    <xf numFmtId="165" fontId="28" fillId="10" borderId="0" applyNumberFormat="0" applyBorder="0" applyAlignment="0" applyProtection="0"/>
    <xf numFmtId="165" fontId="28" fillId="10" borderId="0" applyNumberFormat="0" applyBorder="0" applyAlignment="0" applyProtection="0"/>
    <xf numFmtId="165" fontId="28" fillId="13" borderId="0" applyNumberFormat="0" applyBorder="0" applyAlignment="0" applyProtection="0"/>
    <xf numFmtId="165" fontId="28" fillId="13" borderId="0" applyNumberFormat="0" applyBorder="0" applyAlignment="0" applyProtection="0"/>
    <xf numFmtId="165" fontId="28" fillId="13" borderId="0" applyNumberFormat="0" applyBorder="0" applyAlignment="0" applyProtection="0"/>
    <xf numFmtId="165" fontId="28" fillId="13" borderId="0" applyNumberFormat="0" applyBorder="0" applyAlignment="0" applyProtection="0"/>
    <xf numFmtId="165" fontId="28" fillId="13" borderId="0" applyNumberFormat="0" applyBorder="0" applyAlignment="0" applyProtection="0"/>
    <xf numFmtId="165" fontId="28" fillId="12" borderId="0" applyNumberFormat="0" applyBorder="0" applyAlignment="0" applyProtection="0"/>
    <xf numFmtId="165" fontId="28" fillId="12" borderId="0" applyNumberFormat="0" applyBorder="0" applyAlignment="0" applyProtection="0"/>
    <xf numFmtId="165" fontId="28" fillId="12" borderId="0" applyNumberFormat="0" applyBorder="0" applyAlignment="0" applyProtection="0"/>
    <xf numFmtId="165" fontId="28" fillId="12" borderId="0" applyNumberFormat="0" applyBorder="0" applyAlignment="0" applyProtection="0"/>
    <xf numFmtId="165" fontId="28" fillId="12" borderId="0" applyNumberFormat="0" applyBorder="0" applyAlignment="0" applyProtection="0"/>
    <xf numFmtId="165" fontId="28" fillId="14" borderId="0" applyNumberFormat="0" applyBorder="0" applyAlignment="0" applyProtection="0"/>
    <xf numFmtId="165" fontId="28" fillId="14" borderId="0" applyNumberFormat="0" applyBorder="0" applyAlignment="0" applyProtection="0"/>
    <xf numFmtId="165" fontId="28" fillId="14" borderId="0" applyNumberFormat="0" applyBorder="0" applyAlignment="0" applyProtection="0"/>
    <xf numFmtId="165" fontId="28" fillId="14" borderId="0" applyNumberFormat="0" applyBorder="0" applyAlignment="0" applyProtection="0"/>
    <xf numFmtId="165" fontId="28" fillId="14" borderId="0" applyNumberFormat="0" applyBorder="0" applyAlignment="0" applyProtection="0"/>
    <xf numFmtId="165" fontId="28" fillId="11" borderId="0" applyNumberFormat="0" applyBorder="0" applyAlignment="0" applyProtection="0"/>
    <xf numFmtId="165" fontId="28" fillId="11" borderId="0" applyNumberFormat="0" applyBorder="0" applyAlignment="0" applyProtection="0"/>
    <xf numFmtId="165" fontId="28" fillId="11" borderId="0" applyNumberFormat="0" applyBorder="0" applyAlignment="0" applyProtection="0"/>
    <xf numFmtId="165" fontId="28" fillId="11" borderId="0" applyNumberFormat="0" applyBorder="0" applyAlignment="0" applyProtection="0"/>
    <xf numFmtId="165" fontId="28" fillId="11" borderId="0" applyNumberFormat="0" applyBorder="0" applyAlignment="0" applyProtection="0"/>
    <xf numFmtId="165" fontId="28" fillId="15" borderId="0" applyNumberFormat="0" applyBorder="0" applyAlignment="0" applyProtection="0"/>
    <xf numFmtId="165" fontId="28" fillId="15" borderId="0" applyNumberFormat="0" applyBorder="0" applyAlignment="0" applyProtection="0"/>
    <xf numFmtId="165" fontId="28" fillId="15" borderId="0" applyNumberFormat="0" applyBorder="0" applyAlignment="0" applyProtection="0"/>
    <xf numFmtId="165" fontId="28" fillId="15" borderId="0" applyNumberFormat="0" applyBorder="0" applyAlignment="0" applyProtection="0"/>
    <xf numFmtId="165" fontId="28" fillId="15" borderId="0" applyNumberFormat="0" applyBorder="0" applyAlignment="0" applyProtection="0"/>
    <xf numFmtId="165" fontId="28" fillId="14" borderId="0" applyNumberFormat="0" applyBorder="0" applyAlignment="0" applyProtection="0"/>
    <xf numFmtId="165" fontId="28" fillId="14" borderId="0" applyNumberFormat="0" applyBorder="0" applyAlignment="0" applyProtection="0"/>
    <xf numFmtId="165" fontId="28" fillId="14" borderId="0" applyNumberFormat="0" applyBorder="0" applyAlignment="0" applyProtection="0"/>
    <xf numFmtId="165" fontId="28" fillId="14" borderId="0" applyNumberFormat="0" applyBorder="0" applyAlignment="0" applyProtection="0"/>
    <xf numFmtId="165" fontId="28" fillId="14" borderId="0" applyNumberFormat="0" applyBorder="0" applyAlignment="0" applyProtection="0"/>
    <xf numFmtId="165" fontId="28" fillId="13" borderId="0" applyNumberFormat="0" applyBorder="0" applyAlignment="0" applyProtection="0"/>
    <xf numFmtId="165" fontId="28" fillId="13" borderId="0" applyNumberFormat="0" applyBorder="0" applyAlignment="0" applyProtection="0"/>
    <xf numFmtId="165" fontId="28" fillId="13" borderId="0" applyNumberFormat="0" applyBorder="0" applyAlignment="0" applyProtection="0"/>
    <xf numFmtId="165" fontId="28" fillId="13" borderId="0" applyNumberFormat="0" applyBorder="0" applyAlignment="0" applyProtection="0"/>
    <xf numFmtId="165" fontId="28" fillId="13" borderId="0" applyNumberFormat="0" applyBorder="0" applyAlignment="0" applyProtection="0"/>
    <xf numFmtId="165" fontId="28" fillId="15" borderId="0" applyNumberFormat="0" applyBorder="0" applyAlignment="0" applyProtection="0"/>
    <xf numFmtId="165" fontId="28" fillId="15" borderId="0" applyNumberFormat="0" applyBorder="0" applyAlignment="0" applyProtection="0"/>
    <xf numFmtId="165" fontId="28" fillId="15" borderId="0" applyNumberFormat="0" applyBorder="0" applyAlignment="0" applyProtection="0"/>
    <xf numFmtId="165" fontId="28" fillId="15" borderId="0" applyNumberFormat="0" applyBorder="0" applyAlignment="0" applyProtection="0"/>
    <xf numFmtId="165" fontId="28" fillId="15" borderId="0" applyNumberFormat="0" applyBorder="0" applyAlignment="0" applyProtection="0"/>
    <xf numFmtId="165" fontId="29" fillId="16" borderId="0" applyNumberFormat="0" applyBorder="0" applyAlignment="0" applyProtection="0"/>
    <xf numFmtId="165" fontId="29" fillId="16" borderId="0" applyNumberFormat="0" applyBorder="0" applyAlignment="0" applyProtection="0"/>
    <xf numFmtId="165" fontId="29" fillId="16" borderId="0" applyNumberFormat="0" applyBorder="0" applyAlignment="0" applyProtection="0"/>
    <xf numFmtId="165" fontId="29" fillId="16" borderId="0" applyNumberFormat="0" applyBorder="0" applyAlignment="0" applyProtection="0"/>
    <xf numFmtId="165" fontId="29" fillId="16" borderId="0" applyNumberFormat="0" applyBorder="0" applyAlignment="0" applyProtection="0"/>
    <xf numFmtId="165" fontId="29" fillId="11" borderId="0" applyNumberFormat="0" applyBorder="0" applyAlignment="0" applyProtection="0"/>
    <xf numFmtId="165" fontId="29" fillId="11" borderId="0" applyNumberFormat="0" applyBorder="0" applyAlignment="0" applyProtection="0"/>
    <xf numFmtId="165" fontId="29" fillId="11" borderId="0" applyNumberFormat="0" applyBorder="0" applyAlignment="0" applyProtection="0"/>
    <xf numFmtId="165" fontId="29" fillId="11" borderId="0" applyNumberFormat="0" applyBorder="0" applyAlignment="0" applyProtection="0"/>
    <xf numFmtId="165" fontId="29" fillId="11" borderId="0" applyNumberFormat="0" applyBorder="0" applyAlignment="0" applyProtection="0"/>
    <xf numFmtId="165" fontId="29" fillId="15" borderId="0" applyNumberFormat="0" applyBorder="0" applyAlignment="0" applyProtection="0"/>
    <xf numFmtId="165" fontId="29" fillId="15" borderId="0" applyNumberFormat="0" applyBorder="0" applyAlignment="0" applyProtection="0"/>
    <xf numFmtId="165" fontId="29" fillId="15" borderId="0" applyNumberFormat="0" applyBorder="0" applyAlignment="0" applyProtection="0"/>
    <xf numFmtId="165" fontId="29" fillId="15" borderId="0" applyNumberFormat="0" applyBorder="0" applyAlignment="0" applyProtection="0"/>
    <xf numFmtId="165" fontId="29" fillId="15" borderId="0" applyNumberFormat="0" applyBorder="0" applyAlignment="0" applyProtection="0"/>
    <xf numFmtId="165" fontId="29" fillId="14" borderId="0" applyNumberFormat="0" applyBorder="0" applyAlignment="0" applyProtection="0"/>
    <xf numFmtId="165" fontId="29" fillId="14" borderId="0" applyNumberFormat="0" applyBorder="0" applyAlignment="0" applyProtection="0"/>
    <xf numFmtId="165" fontId="29" fillId="14" borderId="0" applyNumberFormat="0" applyBorder="0" applyAlignment="0" applyProtection="0"/>
    <xf numFmtId="165" fontId="29" fillId="14" borderId="0" applyNumberFormat="0" applyBorder="0" applyAlignment="0" applyProtection="0"/>
    <xf numFmtId="165" fontId="29" fillId="14" borderId="0" applyNumberFormat="0" applyBorder="0" applyAlignment="0" applyProtection="0"/>
    <xf numFmtId="165" fontId="29" fillId="16" borderId="0" applyNumberFormat="0" applyBorder="0" applyAlignment="0" applyProtection="0"/>
    <xf numFmtId="165" fontId="29" fillId="16" borderId="0" applyNumberFormat="0" applyBorder="0" applyAlignment="0" applyProtection="0"/>
    <xf numFmtId="165" fontId="29" fillId="16" borderId="0" applyNumberFormat="0" applyBorder="0" applyAlignment="0" applyProtection="0"/>
    <xf numFmtId="165" fontId="29" fillId="16" borderId="0" applyNumberFormat="0" applyBorder="0" applyAlignment="0" applyProtection="0"/>
    <xf numFmtId="165" fontId="29" fillId="16" borderId="0" applyNumberFormat="0" applyBorder="0" applyAlignment="0" applyProtection="0"/>
    <xf numFmtId="165" fontId="29" fillId="11" borderId="0" applyNumberFormat="0" applyBorder="0" applyAlignment="0" applyProtection="0"/>
    <xf numFmtId="165" fontId="29" fillId="11" borderId="0" applyNumberFormat="0" applyBorder="0" applyAlignment="0" applyProtection="0"/>
    <xf numFmtId="165" fontId="29" fillId="11" borderId="0" applyNumberFormat="0" applyBorder="0" applyAlignment="0" applyProtection="0"/>
    <xf numFmtId="165" fontId="29" fillId="11" borderId="0" applyNumberFormat="0" applyBorder="0" applyAlignment="0" applyProtection="0"/>
    <xf numFmtId="165" fontId="29" fillId="11" borderId="0" applyNumberFormat="0" applyBorder="0" applyAlignment="0" applyProtection="0"/>
    <xf numFmtId="165" fontId="29" fillId="16" borderId="0" applyNumberFormat="0" applyBorder="0" applyAlignment="0" applyProtection="0"/>
    <xf numFmtId="165" fontId="29" fillId="16" borderId="0" applyNumberFormat="0" applyBorder="0" applyAlignment="0" applyProtection="0"/>
    <xf numFmtId="165" fontId="29" fillId="16" borderId="0" applyNumberFormat="0" applyBorder="0" applyAlignment="0" applyProtection="0"/>
    <xf numFmtId="165" fontId="29" fillId="16" borderId="0" applyNumberFormat="0" applyBorder="0" applyAlignment="0" applyProtection="0"/>
    <xf numFmtId="165" fontId="29" fillId="16" borderId="0" applyNumberFormat="0" applyBorder="0" applyAlignment="0" applyProtection="0"/>
    <xf numFmtId="165" fontId="29" fillId="17" borderId="0" applyNumberFormat="0" applyBorder="0" applyAlignment="0" applyProtection="0"/>
    <xf numFmtId="165" fontId="29" fillId="17" borderId="0" applyNumberFormat="0" applyBorder="0" applyAlignment="0" applyProtection="0"/>
    <xf numFmtId="165" fontId="29" fillId="17" borderId="0" applyNumberFormat="0" applyBorder="0" applyAlignment="0" applyProtection="0"/>
    <xf numFmtId="165" fontId="29" fillId="17" borderId="0" applyNumberFormat="0" applyBorder="0" applyAlignment="0" applyProtection="0"/>
    <xf numFmtId="165" fontId="29" fillId="17" borderId="0" applyNumberFormat="0" applyBorder="0" applyAlignment="0" applyProtection="0"/>
    <xf numFmtId="165" fontId="29" fillId="18" borderId="0" applyNumberFormat="0" applyBorder="0" applyAlignment="0" applyProtection="0"/>
    <xf numFmtId="165" fontId="29" fillId="18" borderId="0" applyNumberFormat="0" applyBorder="0" applyAlignment="0" applyProtection="0"/>
    <xf numFmtId="165" fontId="29" fillId="18" borderId="0" applyNumberFormat="0" applyBorder="0" applyAlignment="0" applyProtection="0"/>
    <xf numFmtId="165" fontId="29" fillId="18" borderId="0" applyNumberFormat="0" applyBorder="0" applyAlignment="0" applyProtection="0"/>
    <xf numFmtId="165" fontId="29" fillId="18" borderId="0" applyNumberFormat="0" applyBorder="0" applyAlignment="0" applyProtection="0"/>
    <xf numFmtId="165" fontId="29" fillId="19" borderId="0" applyNumberFormat="0" applyBorder="0" applyAlignment="0" applyProtection="0"/>
    <xf numFmtId="165" fontId="29" fillId="19" borderId="0" applyNumberFormat="0" applyBorder="0" applyAlignment="0" applyProtection="0"/>
    <xf numFmtId="165" fontId="29" fillId="19" borderId="0" applyNumberFormat="0" applyBorder="0" applyAlignment="0" applyProtection="0"/>
    <xf numFmtId="165" fontId="29" fillId="19" borderId="0" applyNumberFormat="0" applyBorder="0" applyAlignment="0" applyProtection="0"/>
    <xf numFmtId="165" fontId="29" fillId="19" borderId="0" applyNumberFormat="0" applyBorder="0" applyAlignment="0" applyProtection="0"/>
    <xf numFmtId="165" fontId="29" fillId="16" borderId="0" applyNumberFormat="0" applyBorder="0" applyAlignment="0" applyProtection="0"/>
    <xf numFmtId="165" fontId="29" fillId="16" borderId="0" applyNumberFormat="0" applyBorder="0" applyAlignment="0" applyProtection="0"/>
    <xf numFmtId="165" fontId="29" fillId="16" borderId="0" applyNumberFormat="0" applyBorder="0" applyAlignment="0" applyProtection="0"/>
    <xf numFmtId="165" fontId="29" fillId="16" borderId="0" applyNumberFormat="0" applyBorder="0" applyAlignment="0" applyProtection="0"/>
    <xf numFmtId="165" fontId="29" fillId="16" borderId="0" applyNumberFormat="0" applyBorder="0" applyAlignment="0" applyProtection="0"/>
    <xf numFmtId="165" fontId="29" fillId="20" borderId="0" applyNumberFormat="0" applyBorder="0" applyAlignment="0" applyProtection="0"/>
    <xf numFmtId="165" fontId="29" fillId="20" borderId="0" applyNumberFormat="0" applyBorder="0" applyAlignment="0" applyProtection="0"/>
    <xf numFmtId="165" fontId="29" fillId="20" borderId="0" applyNumberFormat="0" applyBorder="0" applyAlignment="0" applyProtection="0"/>
    <xf numFmtId="165" fontId="29" fillId="20" borderId="0" applyNumberFormat="0" applyBorder="0" applyAlignment="0" applyProtection="0"/>
    <xf numFmtId="165" fontId="29" fillId="20" borderId="0" applyNumberFormat="0" applyBorder="0" applyAlignment="0" applyProtection="0"/>
    <xf numFmtId="165" fontId="30" fillId="21" borderId="0" applyNumberFormat="0" applyBorder="0" applyAlignment="0" applyProtection="0"/>
    <xf numFmtId="165" fontId="30" fillId="21" borderId="0" applyNumberFormat="0" applyBorder="0" applyAlignment="0" applyProtection="0"/>
    <xf numFmtId="165" fontId="30" fillId="21" borderId="0" applyNumberFormat="0" applyBorder="0" applyAlignment="0" applyProtection="0"/>
    <xf numFmtId="165" fontId="30" fillId="21" borderId="0" applyNumberFormat="0" applyBorder="0" applyAlignment="0" applyProtection="0"/>
    <xf numFmtId="165" fontId="30" fillId="21" borderId="0" applyNumberFormat="0" applyBorder="0" applyAlignment="0" applyProtection="0"/>
    <xf numFmtId="165" fontId="31" fillId="10" borderId="27" applyNumberFormat="0" applyAlignment="0" applyProtection="0"/>
    <xf numFmtId="165" fontId="31" fillId="10" borderId="27" applyNumberFormat="0" applyAlignment="0" applyProtection="0"/>
    <xf numFmtId="165" fontId="31" fillId="10" borderId="27" applyNumberFormat="0" applyAlignment="0" applyProtection="0"/>
    <xf numFmtId="165" fontId="31" fillId="10" borderId="27" applyNumberFormat="0" applyAlignment="0" applyProtection="0"/>
    <xf numFmtId="165" fontId="31" fillId="10" borderId="27" applyNumberFormat="0" applyAlignment="0" applyProtection="0"/>
    <xf numFmtId="165" fontId="32" fillId="22" borderId="28" applyNumberFormat="0" applyAlignment="0" applyProtection="0"/>
    <xf numFmtId="165" fontId="32" fillId="22" borderId="28" applyNumberFormat="0" applyAlignment="0" applyProtection="0"/>
    <xf numFmtId="165" fontId="32" fillId="22" borderId="28" applyNumberFormat="0" applyAlignment="0" applyProtection="0"/>
    <xf numFmtId="165" fontId="32" fillId="22" borderId="28" applyNumberFormat="0" applyAlignment="0" applyProtection="0"/>
    <xf numFmtId="165" fontId="32" fillId="22" borderId="28" applyNumberFormat="0" applyAlignment="0" applyProtection="0"/>
    <xf numFmtId="165" fontId="33" fillId="0" borderId="0" applyNumberFormat="0" applyFill="0" applyBorder="0" applyAlignment="0" applyProtection="0"/>
    <xf numFmtId="165" fontId="33" fillId="0" borderId="0" applyNumberFormat="0" applyFill="0" applyBorder="0" applyAlignment="0" applyProtection="0"/>
    <xf numFmtId="165" fontId="33" fillId="0" borderId="0" applyNumberFormat="0" applyFill="0" applyBorder="0" applyAlignment="0" applyProtection="0"/>
    <xf numFmtId="165" fontId="33" fillId="0" borderId="0" applyNumberFormat="0" applyFill="0" applyBorder="0" applyAlignment="0" applyProtection="0"/>
    <xf numFmtId="165" fontId="33" fillId="0" borderId="0" applyNumberFormat="0" applyFill="0" applyBorder="0" applyAlignment="0" applyProtection="0"/>
    <xf numFmtId="165" fontId="34" fillId="23" borderId="0" applyNumberFormat="0" applyBorder="0" applyAlignment="0" applyProtection="0"/>
    <xf numFmtId="165" fontId="34" fillId="23" borderId="0" applyNumberFormat="0" applyBorder="0" applyAlignment="0" applyProtection="0"/>
    <xf numFmtId="165" fontId="34" fillId="23" borderId="0" applyNumberFormat="0" applyBorder="0" applyAlignment="0" applyProtection="0"/>
    <xf numFmtId="165" fontId="34" fillId="23" borderId="0" applyNumberFormat="0" applyBorder="0" applyAlignment="0" applyProtection="0"/>
    <xf numFmtId="165" fontId="34" fillId="23" borderId="0" applyNumberFormat="0" applyBorder="0" applyAlignment="0" applyProtection="0"/>
    <xf numFmtId="165" fontId="35" fillId="0" borderId="29" applyNumberFormat="0" applyFill="0" applyAlignment="0" applyProtection="0"/>
    <xf numFmtId="165" fontId="35" fillId="0" borderId="29" applyNumberFormat="0" applyFill="0" applyAlignment="0" applyProtection="0"/>
    <xf numFmtId="165" fontId="35" fillId="0" borderId="29" applyNumberFormat="0" applyFill="0" applyAlignment="0" applyProtection="0"/>
    <xf numFmtId="165" fontId="35" fillId="0" borderId="29" applyNumberFormat="0" applyFill="0" applyAlignment="0" applyProtection="0"/>
    <xf numFmtId="165" fontId="35" fillId="0" borderId="29" applyNumberFormat="0" applyFill="0" applyAlignment="0" applyProtection="0"/>
    <xf numFmtId="165" fontId="36" fillId="0" borderId="30" applyNumberFormat="0" applyFill="0" applyAlignment="0" applyProtection="0"/>
    <xf numFmtId="165" fontId="36" fillId="0" borderId="30" applyNumberFormat="0" applyFill="0" applyAlignment="0" applyProtection="0"/>
    <xf numFmtId="165" fontId="36" fillId="0" borderId="30" applyNumberFormat="0" applyFill="0" applyAlignment="0" applyProtection="0"/>
    <xf numFmtId="165" fontId="36" fillId="0" borderId="30" applyNumberFormat="0" applyFill="0" applyAlignment="0" applyProtection="0"/>
    <xf numFmtId="165" fontId="36" fillId="0" borderId="30" applyNumberFormat="0" applyFill="0" applyAlignment="0" applyProtection="0"/>
    <xf numFmtId="165" fontId="37" fillId="0" borderId="31" applyNumberFormat="0" applyFill="0" applyAlignment="0" applyProtection="0"/>
    <xf numFmtId="165" fontId="37" fillId="0" borderId="31" applyNumberFormat="0" applyFill="0" applyAlignment="0" applyProtection="0"/>
    <xf numFmtId="165" fontId="37" fillId="0" borderId="31" applyNumberFormat="0" applyFill="0" applyAlignment="0" applyProtection="0"/>
    <xf numFmtId="165" fontId="37" fillId="0" borderId="31" applyNumberFormat="0" applyFill="0" applyAlignment="0" applyProtection="0"/>
    <xf numFmtId="165" fontId="37" fillId="0" borderId="31" applyNumberFormat="0" applyFill="0" applyAlignment="0" applyProtection="0"/>
    <xf numFmtId="165" fontId="37" fillId="0" borderId="0" applyNumberFormat="0" applyFill="0" applyBorder="0" applyAlignment="0" applyProtection="0"/>
    <xf numFmtId="165" fontId="37" fillId="0" borderId="0" applyNumberFormat="0" applyFill="0" applyBorder="0" applyAlignment="0" applyProtection="0"/>
    <xf numFmtId="165" fontId="37" fillId="0" borderId="0" applyNumberFormat="0" applyFill="0" applyBorder="0" applyAlignment="0" applyProtection="0"/>
    <xf numFmtId="165" fontId="37" fillId="0" borderId="0" applyNumberFormat="0" applyFill="0" applyBorder="0" applyAlignment="0" applyProtection="0"/>
    <xf numFmtId="165" fontId="37" fillId="0" borderId="0" applyNumberFormat="0" applyFill="0" applyBorder="0" applyAlignment="0" applyProtection="0"/>
    <xf numFmtId="165" fontId="38" fillId="15" borderId="27" applyNumberFormat="0" applyAlignment="0" applyProtection="0"/>
    <xf numFmtId="165" fontId="38" fillId="15" borderId="27" applyNumberFormat="0" applyAlignment="0" applyProtection="0"/>
    <xf numFmtId="165" fontId="38" fillId="15" borderId="27" applyNumberFormat="0" applyAlignment="0" applyProtection="0"/>
    <xf numFmtId="165" fontId="38" fillId="15" borderId="27" applyNumberFormat="0" applyAlignment="0" applyProtection="0"/>
    <xf numFmtId="165" fontId="38" fillId="15" borderId="27" applyNumberFormat="0" applyAlignment="0" applyProtection="0"/>
    <xf numFmtId="165" fontId="39" fillId="0" borderId="32" applyNumberFormat="0" applyFill="0" applyAlignment="0" applyProtection="0"/>
    <xf numFmtId="165" fontId="39" fillId="0" borderId="32" applyNumberFormat="0" applyFill="0" applyAlignment="0" applyProtection="0"/>
    <xf numFmtId="165" fontId="39" fillId="0" borderId="32" applyNumberFormat="0" applyFill="0" applyAlignment="0" applyProtection="0"/>
    <xf numFmtId="165" fontId="39" fillId="0" borderId="32" applyNumberFormat="0" applyFill="0" applyAlignment="0" applyProtection="0"/>
    <xf numFmtId="165" fontId="39" fillId="0" borderId="32" applyNumberFormat="0" applyFill="0" applyAlignment="0" applyProtection="0"/>
    <xf numFmtId="165" fontId="40" fillId="15" borderId="0" applyNumberFormat="0" applyBorder="0" applyAlignment="0" applyProtection="0"/>
    <xf numFmtId="165" fontId="40" fillId="15" borderId="0" applyNumberFormat="0" applyBorder="0" applyAlignment="0" applyProtection="0"/>
    <xf numFmtId="165" fontId="40" fillId="15" borderId="0" applyNumberFormat="0" applyBorder="0" applyAlignment="0" applyProtection="0"/>
    <xf numFmtId="165" fontId="40" fillId="15" borderId="0" applyNumberFormat="0" applyBorder="0" applyAlignment="0" applyProtection="0"/>
    <xf numFmtId="165" fontId="40" fillId="15" borderId="0" applyNumberFormat="0" applyBorder="0" applyAlignment="0" applyProtection="0"/>
    <xf numFmtId="165" fontId="22" fillId="0" borderId="0"/>
    <xf numFmtId="165" fontId="21" fillId="0" borderId="0"/>
    <xf numFmtId="165" fontId="22" fillId="0" borderId="0"/>
    <xf numFmtId="165" fontId="11" fillId="0" borderId="0"/>
    <xf numFmtId="165" fontId="11" fillId="0" borderId="0"/>
    <xf numFmtId="165" fontId="11" fillId="12" borderId="33" applyNumberFormat="0" applyFont="0" applyAlignment="0" applyProtection="0"/>
    <xf numFmtId="165" fontId="11" fillId="12" borderId="33" applyNumberFormat="0" applyFont="0" applyAlignment="0" applyProtection="0"/>
    <xf numFmtId="165" fontId="11" fillId="12" borderId="33" applyNumberFormat="0" applyFont="0" applyAlignment="0" applyProtection="0"/>
    <xf numFmtId="165" fontId="11" fillId="12" borderId="33" applyNumberFormat="0" applyFont="0" applyAlignment="0" applyProtection="0"/>
    <xf numFmtId="165" fontId="11" fillId="12" borderId="33" applyNumberFormat="0" applyFont="0" applyAlignment="0" applyProtection="0"/>
    <xf numFmtId="165" fontId="41" fillId="10" borderId="34" applyNumberFormat="0" applyAlignment="0" applyProtection="0"/>
    <xf numFmtId="165" fontId="41" fillId="10" borderId="34" applyNumberFormat="0" applyAlignment="0" applyProtection="0"/>
    <xf numFmtId="165" fontId="41" fillId="10" borderId="34" applyNumberFormat="0" applyAlignment="0" applyProtection="0"/>
    <xf numFmtId="165" fontId="41" fillId="10" borderId="34" applyNumberFormat="0" applyAlignment="0" applyProtection="0"/>
    <xf numFmtId="165" fontId="41" fillId="10" borderId="34" applyNumberFormat="0" applyAlignment="0" applyProtection="0"/>
    <xf numFmtId="9" fontId="21" fillId="0" borderId="0" applyFont="0" applyFill="0" applyBorder="0" applyAlignment="0" applyProtection="0"/>
    <xf numFmtId="165" fontId="42" fillId="0" borderId="0" applyNumberFormat="0" applyFill="0" applyBorder="0" applyAlignment="0" applyProtection="0"/>
    <xf numFmtId="165" fontId="42" fillId="0" borderId="0" applyNumberFormat="0" applyFill="0" applyBorder="0" applyAlignment="0" applyProtection="0"/>
    <xf numFmtId="165" fontId="42" fillId="0" borderId="0" applyNumberFormat="0" applyFill="0" applyBorder="0" applyAlignment="0" applyProtection="0"/>
    <xf numFmtId="165" fontId="42" fillId="0" borderId="0" applyNumberFormat="0" applyFill="0" applyBorder="0" applyAlignment="0" applyProtection="0"/>
    <xf numFmtId="165" fontId="42" fillId="0" borderId="0" applyNumberFormat="0" applyFill="0" applyBorder="0" applyAlignment="0" applyProtection="0"/>
    <xf numFmtId="165" fontId="43" fillId="0" borderId="35" applyNumberFormat="0" applyFill="0" applyAlignment="0" applyProtection="0"/>
    <xf numFmtId="165" fontId="43" fillId="0" borderId="35" applyNumberFormat="0" applyFill="0" applyAlignment="0" applyProtection="0"/>
    <xf numFmtId="165" fontId="43" fillId="0" borderId="35" applyNumberFormat="0" applyFill="0" applyAlignment="0" applyProtection="0"/>
    <xf numFmtId="165" fontId="43" fillId="0" borderId="35" applyNumberFormat="0" applyFill="0" applyAlignment="0" applyProtection="0"/>
    <xf numFmtId="165" fontId="43" fillId="0" borderId="35" applyNumberFormat="0" applyFill="0" applyAlignment="0" applyProtection="0"/>
    <xf numFmtId="165" fontId="44" fillId="0" borderId="0" applyNumberFormat="0" applyFill="0" applyBorder="0" applyAlignment="0" applyProtection="0"/>
    <xf numFmtId="165" fontId="44" fillId="0" borderId="0" applyNumberFormat="0" applyFill="0" applyBorder="0" applyAlignment="0" applyProtection="0"/>
    <xf numFmtId="165" fontId="44" fillId="0" borderId="0" applyNumberFormat="0" applyFill="0" applyBorder="0" applyAlignment="0" applyProtection="0"/>
    <xf numFmtId="165" fontId="44" fillId="0" borderId="0" applyNumberFormat="0" applyFill="0" applyBorder="0" applyAlignment="0" applyProtection="0"/>
    <xf numFmtId="165" fontId="44" fillId="0" borderId="0" applyNumberFormat="0" applyFill="0" applyBorder="0" applyAlignment="0" applyProtection="0"/>
    <xf numFmtId="9" fontId="9" fillId="0" borderId="0" applyFont="0" applyFill="0" applyBorder="0" applyAlignment="0" applyProtection="0"/>
    <xf numFmtId="0" fontId="9" fillId="0" borderId="0"/>
    <xf numFmtId="0" fontId="11" fillId="25" borderId="0">
      <protection locked="0"/>
    </xf>
    <xf numFmtId="0" fontId="11" fillId="26" borderId="44">
      <alignment horizontal="center" vertical="center"/>
      <protection locked="0"/>
    </xf>
    <xf numFmtId="0" fontId="11" fillId="27" borderId="0">
      <protection locked="0"/>
    </xf>
    <xf numFmtId="0" fontId="53" fillId="26" borderId="0">
      <alignment vertical="center"/>
      <protection locked="0"/>
    </xf>
    <xf numFmtId="0" fontId="53" fillId="0" borderId="0">
      <protection locked="0"/>
    </xf>
    <xf numFmtId="0" fontId="54" fillId="0" borderId="0">
      <protection locked="0"/>
    </xf>
    <xf numFmtId="0" fontId="55" fillId="0" borderId="0"/>
    <xf numFmtId="0" fontId="11" fillId="0" borderId="0"/>
    <xf numFmtId="9" fontId="55" fillId="0" borderId="0" applyFont="0" applyFill="0" applyBorder="0" applyAlignment="0" applyProtection="0"/>
    <xf numFmtId="9" fontId="55" fillId="0" borderId="0" applyFont="0" applyFill="0" applyBorder="0" applyAlignment="0" applyProtection="0"/>
    <xf numFmtId="0" fontId="11" fillId="26" borderId="45">
      <alignment vertical="center"/>
      <protection locked="0"/>
    </xf>
    <xf numFmtId="0" fontId="56" fillId="0" borderId="0">
      <protection locked="0"/>
    </xf>
  </cellStyleXfs>
  <cellXfs count="441">
    <xf numFmtId="0" fontId="0" fillId="0" borderId="0" xfId="0"/>
    <xf numFmtId="0" fontId="10" fillId="0" borderId="0" xfId="0" applyFont="1" applyProtection="1">
      <protection hidden="1"/>
    </xf>
    <xf numFmtId="0" fontId="11" fillId="0" borderId="0" xfId="0" applyFont="1" applyProtection="1">
      <protection hidden="1"/>
    </xf>
    <xf numFmtId="165" fontId="23" fillId="3" borderId="0" xfId="1" applyFont="1" applyFill="1" applyAlignment="1" applyProtection="1">
      <alignment vertical="top"/>
      <protection hidden="1"/>
    </xf>
    <xf numFmtId="1" fontId="24" fillId="3" borderId="0" xfId="1" applyNumberFormat="1" applyFont="1" applyFill="1" applyAlignment="1" applyProtection="1">
      <alignment horizontal="left" vertical="top" wrapText="1"/>
      <protection hidden="1"/>
    </xf>
    <xf numFmtId="1" fontId="24" fillId="0" borderId="0" xfId="1" applyNumberFormat="1" applyFont="1" applyAlignment="1" applyProtection="1">
      <alignment horizontal="left" vertical="top" wrapText="1"/>
      <protection hidden="1"/>
    </xf>
    <xf numFmtId="0" fontId="2" fillId="0" borderId="0" xfId="0" applyFont="1" applyAlignment="1" applyProtection="1">
      <alignment horizontal="center" vertical="center"/>
      <protection hidden="1"/>
    </xf>
    <xf numFmtId="0" fontId="18"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2" fillId="0" borderId="0" xfId="0" applyFont="1" applyAlignment="1" applyProtection="1">
      <alignment vertical="center"/>
      <protection hidden="1"/>
    </xf>
    <xf numFmtId="0" fontId="0" fillId="0" borderId="0" xfId="0" applyAlignment="1" applyProtection="1">
      <alignment horizontal="left" vertical="center"/>
      <protection hidden="1"/>
    </xf>
    <xf numFmtId="0" fontId="0" fillId="0" borderId="0" xfId="0" applyProtection="1">
      <protection hidden="1"/>
    </xf>
    <xf numFmtId="0" fontId="49" fillId="4" borderId="21" xfId="2" applyFont="1" applyBorder="1" applyAlignment="1" applyProtection="1">
      <alignment horizontal="left" vertical="center" wrapText="1"/>
      <protection hidden="1"/>
    </xf>
    <xf numFmtId="0" fontId="26" fillId="0" borderId="0" xfId="0" applyFont="1" applyAlignment="1" applyProtection="1">
      <alignment horizontal="left" vertical="center" wrapText="1"/>
      <protection hidden="1"/>
    </xf>
    <xf numFmtId="0" fontId="4" fillId="7" borderId="0" xfId="0" applyFont="1" applyFill="1" applyAlignment="1" applyProtection="1">
      <alignment horizontal="center" vertical="center" wrapText="1"/>
      <protection hidden="1"/>
    </xf>
    <xf numFmtId="0" fontId="20" fillId="0" borderId="0" xfId="0" applyFont="1" applyAlignment="1" applyProtection="1">
      <alignment horizontal="center" vertical="center"/>
      <protection hidden="1"/>
    </xf>
    <xf numFmtId="0" fontId="14" fillId="0" borderId="0" xfId="0" applyFont="1" applyAlignment="1" applyProtection="1">
      <alignment horizontal="center" vertical="center"/>
      <protection hidden="1"/>
    </xf>
    <xf numFmtId="0" fontId="1" fillId="0" borderId="0" xfId="0" applyFont="1" applyAlignment="1" applyProtection="1">
      <alignment vertical="center"/>
      <protection hidden="1"/>
    </xf>
    <xf numFmtId="0" fontId="3" fillId="0" borderId="0" xfId="0" applyFont="1" applyAlignment="1" applyProtection="1">
      <alignment vertical="center"/>
      <protection hidden="1"/>
    </xf>
    <xf numFmtId="0" fontId="49" fillId="4" borderId="23" xfId="2" applyFont="1" applyBorder="1" applyAlignment="1" applyProtection="1">
      <alignment horizontal="left" vertical="center" wrapText="1"/>
      <protection hidden="1"/>
    </xf>
    <xf numFmtId="0" fontId="27" fillId="0" borderId="0" xfId="0" applyFont="1" applyAlignment="1" applyProtection="1">
      <alignment horizontal="left" vertical="center" wrapText="1"/>
      <protection hidden="1"/>
    </xf>
    <xf numFmtId="0" fontId="1" fillId="0" borderId="0" xfId="0" applyFont="1" applyAlignment="1" applyProtection="1">
      <alignment horizontal="center" vertical="center"/>
      <protection hidden="1"/>
    </xf>
    <xf numFmtId="0" fontId="2" fillId="0" borderId="0" xfId="0" applyFont="1" applyAlignment="1" applyProtection="1">
      <alignment horizontal="left" vertical="center" wrapText="1"/>
      <protection hidden="1"/>
    </xf>
    <xf numFmtId="0" fontId="4" fillId="7" borderId="0" xfId="0" applyFont="1" applyFill="1" applyAlignment="1" applyProtection="1">
      <alignment horizontal="left" vertical="center" wrapText="1"/>
      <protection hidden="1"/>
    </xf>
    <xf numFmtId="0" fontId="25" fillId="0" borderId="0" xfId="0" applyFont="1" applyAlignment="1" applyProtection="1">
      <alignment horizontal="center" vertical="center"/>
      <protection hidden="1"/>
    </xf>
    <xf numFmtId="0" fontId="5" fillId="8" borderId="7" xfId="0" applyFont="1" applyFill="1" applyBorder="1" applyAlignment="1" applyProtection="1">
      <alignment horizontal="left" vertical="center" wrapText="1"/>
      <protection hidden="1"/>
    </xf>
    <xf numFmtId="0" fontId="4" fillId="8" borderId="7" xfId="0" applyFont="1" applyFill="1" applyBorder="1" applyAlignment="1" applyProtection="1">
      <alignment horizontal="left" vertical="center" wrapText="1"/>
      <protection hidden="1"/>
    </xf>
    <xf numFmtId="0" fontId="4" fillId="8" borderId="7" xfId="0" applyFont="1" applyFill="1" applyBorder="1" applyAlignment="1" applyProtection="1">
      <alignment horizontal="center" vertical="center" wrapText="1"/>
      <protection hidden="1"/>
    </xf>
    <xf numFmtId="164" fontId="0" fillId="4" borderId="4" xfId="2" applyNumberFormat="1" applyFont="1" applyAlignment="1" applyProtection="1">
      <alignment horizontal="center" vertical="center"/>
      <protection hidden="1"/>
    </xf>
    <xf numFmtId="0" fontId="0" fillId="4" borderId="4" xfId="2" applyFont="1" applyAlignment="1" applyProtection="1">
      <alignment horizontal="center" vertical="center"/>
      <protection hidden="1"/>
    </xf>
    <xf numFmtId="0" fontId="0" fillId="3" borderId="9" xfId="0" applyFill="1" applyBorder="1" applyAlignment="1" applyProtection="1">
      <alignment horizontal="center" vertical="center"/>
      <protection locked="0" hidden="1"/>
    </xf>
    <xf numFmtId="0" fontId="25" fillId="3" borderId="0" xfId="0" applyFont="1" applyFill="1" applyAlignment="1" applyProtection="1">
      <alignment horizontal="center" vertical="center"/>
      <protection hidden="1"/>
    </xf>
    <xf numFmtId="0" fontId="12" fillId="7" borderId="0" xfId="0" applyFont="1" applyFill="1" applyAlignment="1" applyProtection="1">
      <alignment horizontal="center" vertical="center"/>
      <protection hidden="1"/>
    </xf>
    <xf numFmtId="0" fontId="0" fillId="0" borderId="0" xfId="0" applyAlignment="1" applyProtection="1">
      <alignment vertical="center"/>
      <protection hidden="1"/>
    </xf>
    <xf numFmtId="164" fontId="0" fillId="4" borderId="7" xfId="2" applyNumberFormat="1" applyFont="1" applyBorder="1" applyAlignment="1" applyProtection="1">
      <alignment horizontal="center" vertical="center"/>
      <protection hidden="1"/>
    </xf>
    <xf numFmtId="0" fontId="0" fillId="4" borderId="7" xfId="2" applyFont="1" applyBorder="1" applyAlignment="1" applyProtection="1">
      <alignment horizontal="center" vertical="center"/>
      <protection hidden="1"/>
    </xf>
    <xf numFmtId="0" fontId="0" fillId="3" borderId="9" xfId="3" applyFont="1" applyFill="1" applyBorder="1" applyAlignment="1" applyProtection="1">
      <alignment horizontal="center" vertical="center"/>
      <protection locked="0" hidden="1"/>
    </xf>
    <xf numFmtId="164" fontId="9" fillId="4" borderId="4" xfId="2" applyNumberFormat="1" applyAlignment="1" applyProtection="1">
      <alignment horizontal="center" vertical="center"/>
      <protection hidden="1"/>
    </xf>
    <xf numFmtId="0" fontId="9" fillId="4" borderId="4" xfId="2" applyAlignment="1" applyProtection="1">
      <alignment horizontal="left" vertical="center" wrapText="1"/>
      <protection hidden="1"/>
    </xf>
    <xf numFmtId="0" fontId="9" fillId="4" borderId="4" xfId="2" applyAlignment="1" applyProtection="1">
      <alignment horizontal="center" vertical="center"/>
      <protection hidden="1"/>
    </xf>
    <xf numFmtId="0" fontId="0" fillId="4" borderId="12" xfId="2" applyFont="1" applyBorder="1" applyAlignment="1" applyProtection="1">
      <alignment horizontal="center" vertical="center"/>
      <protection hidden="1"/>
    </xf>
    <xf numFmtId="0" fontId="0" fillId="3" borderId="10" xfId="3" applyFont="1" applyFill="1" applyBorder="1" applyAlignment="1" applyProtection="1">
      <alignment horizontal="center" vertical="center"/>
      <protection locked="0" hidden="1"/>
    </xf>
    <xf numFmtId="0" fontId="0" fillId="3" borderId="5" xfId="5" applyFont="1" applyFill="1" applyBorder="1" applyAlignment="1" applyProtection="1">
      <alignment horizontal="center" vertical="center"/>
      <protection locked="0" hidden="1"/>
    </xf>
    <xf numFmtId="0" fontId="0" fillId="4" borderId="4" xfId="2" applyFont="1" applyAlignment="1" applyProtection="1">
      <alignment horizontal="left" vertical="top" wrapText="1"/>
      <protection hidden="1"/>
    </xf>
    <xf numFmtId="0" fontId="4" fillId="7" borderId="6" xfId="4" applyBorder="1" applyAlignment="1" applyProtection="1">
      <alignment horizontal="left" vertical="center" wrapText="1"/>
      <protection hidden="1"/>
    </xf>
    <xf numFmtId="0" fontId="4" fillId="7" borderId="6" xfId="4" applyBorder="1" applyProtection="1">
      <alignment horizontal="center" vertical="center" wrapText="1"/>
      <protection hidden="1"/>
    </xf>
    <xf numFmtId="0" fontId="4" fillId="7" borderId="0" xfId="4" applyProtection="1">
      <alignment horizontal="center" vertical="center" wrapText="1"/>
      <protection hidden="1"/>
    </xf>
    <xf numFmtId="0" fontId="4" fillId="0" borderId="0" xfId="4" applyFill="1" applyProtection="1">
      <alignment horizontal="center" vertical="center" wrapText="1"/>
      <protection hidden="1"/>
    </xf>
    <xf numFmtId="0" fontId="0" fillId="0" borderId="0" xfId="0" applyAlignment="1" applyProtection="1">
      <alignment horizontal="left" vertical="center" wrapText="1"/>
      <protection hidden="1"/>
    </xf>
    <xf numFmtId="0" fontId="0" fillId="3" borderId="0" xfId="0" applyFill="1" applyAlignment="1" applyProtection="1">
      <alignment horizontal="left" vertical="center" wrapText="1"/>
      <protection hidden="1"/>
    </xf>
    <xf numFmtId="164" fontId="19" fillId="0" borderId="0" xfId="0" applyNumberFormat="1" applyFont="1" applyAlignment="1" applyProtection="1">
      <alignment horizontal="center" vertical="center"/>
      <protection hidden="1"/>
    </xf>
    <xf numFmtId="0" fontId="10" fillId="0" borderId="0" xfId="0" applyFont="1" applyAlignment="1" applyProtection="1">
      <alignment horizontal="left" vertical="center"/>
      <protection hidden="1"/>
    </xf>
    <xf numFmtId="0" fontId="10" fillId="0" borderId="0" xfId="0" applyFont="1" applyAlignment="1" applyProtection="1">
      <alignment horizontal="center" vertical="center"/>
      <protection hidden="1"/>
    </xf>
    <xf numFmtId="0" fontId="0" fillId="3" borderId="0" xfId="0" applyFill="1" applyAlignment="1" applyProtection="1">
      <alignment horizontal="center" vertical="center"/>
      <protection hidden="1"/>
    </xf>
    <xf numFmtId="0" fontId="4" fillId="2" borderId="7" xfId="0" applyFont="1" applyFill="1" applyBorder="1" applyAlignment="1" applyProtection="1">
      <alignment horizontal="center" vertical="center" wrapText="1"/>
      <protection hidden="1"/>
    </xf>
    <xf numFmtId="0" fontId="4" fillId="0" borderId="0" xfId="0" applyFont="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0" fillId="4" borderId="4" xfId="2" applyFont="1" applyAlignment="1" applyProtection="1">
      <alignment horizontal="left" vertical="center"/>
      <protection hidden="1"/>
    </xf>
    <xf numFmtId="0" fontId="0" fillId="4" borderId="39" xfId="2" applyFont="1" applyBorder="1" applyAlignment="1" applyProtection="1">
      <alignment horizontal="center" vertical="center"/>
      <protection hidden="1"/>
    </xf>
    <xf numFmtId="0" fontId="0" fillId="3" borderId="2" xfId="0" applyFill="1" applyBorder="1" applyAlignment="1" applyProtection="1">
      <alignment horizontal="center" vertical="center"/>
      <protection locked="0" hidden="1"/>
    </xf>
    <xf numFmtId="0" fontId="0" fillId="4" borderId="6" xfId="2" applyFont="1" applyBorder="1" applyAlignment="1" applyProtection="1">
      <alignment horizontal="left" vertical="center"/>
      <protection hidden="1"/>
    </xf>
    <xf numFmtId="0" fontId="0" fillId="4" borderId="6" xfId="2"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8" fillId="0" borderId="0" xfId="0" applyFont="1" applyAlignment="1" applyProtection="1">
      <alignment vertical="center"/>
      <protection hidden="1"/>
    </xf>
    <xf numFmtId="0" fontId="25" fillId="0" borderId="0" xfId="0" applyFont="1" applyAlignment="1" applyProtection="1">
      <alignment horizontal="center" vertical="center" wrapText="1"/>
      <protection hidden="1"/>
    </xf>
    <xf numFmtId="0" fontId="7" fillId="0" borderId="0" xfId="0" applyFont="1" applyAlignment="1" applyProtection="1">
      <alignment vertical="center"/>
      <protection hidden="1"/>
    </xf>
    <xf numFmtId="0" fontId="13" fillId="9" borderId="14" xfId="5" applyBorder="1" applyAlignment="1" applyProtection="1">
      <alignment horizontal="center" vertical="center"/>
      <protection locked="0" hidden="1"/>
    </xf>
    <xf numFmtId="0" fontId="25" fillId="0" borderId="20" xfId="0" applyFont="1" applyBorder="1" applyAlignment="1" applyProtection="1">
      <alignment horizontal="center" vertical="center"/>
      <protection hidden="1"/>
    </xf>
    <xf numFmtId="0" fontId="13" fillId="9" borderId="11" xfId="5" applyBorder="1" applyAlignment="1" applyProtection="1">
      <alignment horizontal="center" vertical="center"/>
      <protection locked="0" hidden="1"/>
    </xf>
    <xf numFmtId="0" fontId="9" fillId="3" borderId="11" xfId="5" applyFont="1" applyFill="1" applyBorder="1" applyAlignment="1" applyProtection="1">
      <alignment horizontal="center" vertical="center"/>
      <protection locked="0" hidden="1"/>
    </xf>
    <xf numFmtId="0" fontId="13" fillId="9" borderId="19" xfId="5" applyBorder="1" applyAlignment="1" applyProtection="1">
      <alignment horizontal="center" vertical="center"/>
      <protection locked="0" hidden="1"/>
    </xf>
    <xf numFmtId="0" fontId="25" fillId="0" borderId="0" xfId="0" applyFont="1" applyProtection="1">
      <protection hidden="1"/>
    </xf>
    <xf numFmtId="0" fontId="4" fillId="2" borderId="7" xfId="0" applyFont="1" applyFill="1" applyBorder="1" applyAlignment="1" applyProtection="1">
      <alignment horizontal="left" vertical="center" wrapText="1"/>
      <protection hidden="1"/>
    </xf>
    <xf numFmtId="0" fontId="4" fillId="2" borderId="7" xfId="0" applyFont="1" applyFill="1" applyBorder="1" applyAlignment="1" applyProtection="1">
      <alignment vertical="center" wrapText="1"/>
      <protection hidden="1"/>
    </xf>
    <xf numFmtId="0" fontId="13" fillId="9" borderId="7" xfId="5" applyBorder="1" applyAlignment="1" applyProtection="1">
      <alignment horizontal="center" vertical="center"/>
      <protection hidden="1"/>
    </xf>
    <xf numFmtId="0" fontId="13" fillId="9" borderId="7" xfId="5" applyBorder="1" applyAlignment="1" applyProtection="1">
      <alignment horizontal="left" vertical="center"/>
      <protection hidden="1"/>
    </xf>
    <xf numFmtId="0" fontId="13" fillId="9" borderId="8" xfId="5" applyBorder="1" applyAlignment="1" applyProtection="1">
      <alignment horizontal="center" vertical="center"/>
      <protection hidden="1"/>
    </xf>
    <xf numFmtId="0" fontId="13" fillId="9" borderId="4" xfId="5" applyAlignment="1" applyProtection="1">
      <alignment horizontal="center" vertical="center"/>
      <protection hidden="1"/>
    </xf>
    <xf numFmtId="0" fontId="13" fillId="9" borderId="4" xfId="5" applyAlignment="1" applyProtection="1">
      <alignment horizontal="left" vertical="center"/>
      <protection hidden="1"/>
    </xf>
    <xf numFmtId="0" fontId="13" fillId="9" borderId="12" xfId="5" applyBorder="1" applyAlignment="1" applyProtection="1">
      <alignment horizontal="center" vertical="center"/>
      <protection hidden="1"/>
    </xf>
    <xf numFmtId="0" fontId="13" fillId="9" borderId="6" xfId="5" applyBorder="1" applyAlignment="1" applyProtection="1">
      <alignment horizontal="center" vertical="center"/>
      <protection hidden="1"/>
    </xf>
    <xf numFmtId="0" fontId="13" fillId="9" borderId="6" xfId="5" applyBorder="1" applyAlignment="1" applyProtection="1">
      <alignment horizontal="left" vertical="center"/>
      <protection hidden="1"/>
    </xf>
    <xf numFmtId="0" fontId="13" fillId="9" borderId="13" xfId="5" applyBorder="1" applyAlignment="1" applyProtection="1">
      <alignment horizontal="center" vertical="center"/>
      <protection hidden="1"/>
    </xf>
    <xf numFmtId="0" fontId="13" fillId="9" borderId="7" xfId="5" applyBorder="1" applyAlignment="1" applyProtection="1">
      <alignment horizontal="center" vertical="center"/>
      <protection locked="0" hidden="1"/>
    </xf>
    <xf numFmtId="0" fontId="13" fillId="9" borderId="4" xfId="5" applyAlignment="1" applyProtection="1">
      <alignment horizontal="center" vertical="center"/>
      <protection locked="0" hidden="1"/>
    </xf>
    <xf numFmtId="0" fontId="13" fillId="9" borderId="6" xfId="5" applyBorder="1" applyAlignment="1" applyProtection="1">
      <alignment horizontal="center" vertical="center"/>
      <protection locked="0" hidden="1"/>
    </xf>
    <xf numFmtId="0" fontId="9" fillId="4" borderId="37" xfId="2" applyBorder="1" applyAlignment="1" applyProtection="1">
      <alignment horizontal="center" vertical="center" wrapText="1"/>
      <protection hidden="1"/>
    </xf>
    <xf numFmtId="0" fontId="9" fillId="3" borderId="5" xfId="5" applyFont="1" applyFill="1" applyBorder="1" applyAlignment="1" applyProtection="1">
      <alignment horizontal="center" vertical="center"/>
      <protection locked="0" hidden="1"/>
    </xf>
    <xf numFmtId="164" fontId="9" fillId="4" borderId="7" xfId="2" applyNumberFormat="1" applyBorder="1" applyAlignment="1" applyProtection="1">
      <alignment horizontal="center" vertical="center"/>
      <protection hidden="1"/>
    </xf>
    <xf numFmtId="0" fontId="9" fillId="4" borderId="7" xfId="2" applyBorder="1" applyAlignment="1" applyProtection="1">
      <alignment horizontal="left" vertical="center"/>
      <protection hidden="1"/>
    </xf>
    <xf numFmtId="0" fontId="9" fillId="3" borderId="14" xfId="5" applyFont="1" applyFill="1" applyBorder="1" applyAlignment="1" applyProtection="1">
      <alignment horizontal="center" vertical="center"/>
      <protection locked="0" hidden="1"/>
    </xf>
    <xf numFmtId="0" fontId="9" fillId="4" borderId="4" xfId="2" applyAlignment="1" applyProtection="1">
      <alignment horizontal="left" vertical="center"/>
      <protection hidden="1"/>
    </xf>
    <xf numFmtId="164" fontId="9" fillId="4" borderId="6" xfId="2" applyNumberFormat="1" applyBorder="1" applyAlignment="1" applyProtection="1">
      <alignment horizontal="center" vertical="center"/>
      <protection hidden="1"/>
    </xf>
    <xf numFmtId="0" fontId="9" fillId="4" borderId="6" xfId="2" applyBorder="1" applyAlignment="1" applyProtection="1">
      <alignment horizontal="left" vertical="center"/>
      <protection hidden="1"/>
    </xf>
    <xf numFmtId="0" fontId="9" fillId="3" borderId="19" xfId="5" applyFont="1" applyFill="1" applyBorder="1" applyAlignment="1" applyProtection="1">
      <alignment horizontal="center" vertical="center"/>
      <protection locked="0" hidden="1"/>
    </xf>
    <xf numFmtId="0" fontId="16" fillId="4" borderId="38" xfId="2" applyFont="1" applyBorder="1" applyAlignment="1" applyProtection="1">
      <alignment horizontal="left" vertical="center"/>
      <protection hidden="1"/>
    </xf>
    <xf numFmtId="0" fontId="5" fillId="2" borderId="7" xfId="0" applyFont="1" applyFill="1" applyBorder="1" applyAlignment="1" applyProtection="1">
      <alignment horizontal="center" vertical="center" wrapText="1"/>
      <protection hidden="1"/>
    </xf>
    <xf numFmtId="0" fontId="5" fillId="2" borderId="0" xfId="0" applyFont="1" applyFill="1" applyAlignment="1" applyProtection="1">
      <alignment horizontal="center" vertical="center" wrapText="1"/>
      <protection hidden="1"/>
    </xf>
    <xf numFmtId="0" fontId="0" fillId="4" borderId="7" xfId="2" applyFont="1" applyBorder="1" applyAlignment="1" applyProtection="1">
      <alignment horizontal="left" vertical="top" wrapText="1"/>
      <protection hidden="1"/>
    </xf>
    <xf numFmtId="0" fontId="0" fillId="4" borderId="6" xfId="2" applyFont="1" applyBorder="1" applyAlignment="1" applyProtection="1">
      <alignment horizontal="left" vertical="top" wrapText="1"/>
      <protection hidden="1"/>
    </xf>
    <xf numFmtId="0" fontId="4" fillId="8" borderId="0" xfId="0" applyFont="1" applyFill="1" applyAlignment="1" applyProtection="1">
      <alignment vertical="center" wrapText="1"/>
      <protection hidden="1"/>
    </xf>
    <xf numFmtId="1" fontId="4" fillId="8" borderId="0" xfId="0" applyNumberFormat="1" applyFont="1" applyFill="1" applyAlignment="1" applyProtection="1">
      <alignment horizontal="left" vertical="center" wrapText="1"/>
      <protection hidden="1"/>
    </xf>
    <xf numFmtId="0" fontId="16" fillId="0" borderId="4" xfId="2" applyFont="1" applyFill="1" applyAlignment="1" applyProtection="1">
      <alignment vertical="center" wrapText="1"/>
      <protection hidden="1"/>
    </xf>
    <xf numFmtId="1" fontId="17" fillId="3" borderId="3" xfId="1" applyNumberFormat="1" applyFont="1" applyFill="1" applyBorder="1" applyAlignment="1" applyProtection="1">
      <alignment horizontal="left" vertical="center" wrapText="1"/>
      <protection hidden="1"/>
    </xf>
    <xf numFmtId="1" fontId="45" fillId="3" borderId="12" xfId="1" applyNumberFormat="1" applyFont="1" applyFill="1" applyBorder="1" applyAlignment="1" applyProtection="1">
      <alignment horizontal="left" vertical="center" wrapText="1"/>
      <protection locked="0" hidden="1"/>
    </xf>
    <xf numFmtId="0" fontId="0" fillId="0" borderId="0" xfId="0" applyAlignment="1" applyProtection="1">
      <alignment wrapText="1"/>
      <protection hidden="1"/>
    </xf>
    <xf numFmtId="0" fontId="16" fillId="0" borderId="42" xfId="0" applyFont="1" applyBorder="1" applyAlignment="1" applyProtection="1">
      <alignment wrapText="1"/>
      <protection hidden="1"/>
    </xf>
    <xf numFmtId="0" fontId="0" fillId="0" borderId="42" xfId="0" applyBorder="1" applyAlignment="1" applyProtection="1">
      <alignment wrapText="1"/>
      <protection hidden="1"/>
    </xf>
    <xf numFmtId="0" fontId="16" fillId="4" borderId="37" xfId="2" applyFont="1" applyBorder="1" applyAlignment="1" applyProtection="1">
      <alignment vertical="center" wrapText="1"/>
      <protection hidden="1"/>
    </xf>
    <xf numFmtId="0" fontId="9" fillId="6" borderId="4" xfId="5" applyFont="1" applyFill="1" applyAlignment="1" applyProtection="1">
      <alignment horizontal="center" vertical="center"/>
      <protection hidden="1"/>
    </xf>
    <xf numFmtId="0" fontId="9" fillId="6" borderId="6" xfId="5" applyFont="1" applyFill="1" applyBorder="1" applyAlignment="1" applyProtection="1">
      <alignment horizontal="center" vertical="center"/>
      <protection hidden="1"/>
    </xf>
    <xf numFmtId="0" fontId="9" fillId="24" borderId="7" xfId="5" applyFont="1" applyFill="1" applyBorder="1" applyAlignment="1" applyProtection="1">
      <alignment horizontal="center" vertical="center"/>
      <protection hidden="1"/>
    </xf>
    <xf numFmtId="0" fontId="9" fillId="24" borderId="7" xfId="5" applyFont="1" applyFill="1" applyBorder="1" applyAlignment="1" applyProtection="1">
      <alignment horizontal="left" vertical="center"/>
      <protection hidden="1"/>
    </xf>
    <xf numFmtId="0" fontId="9" fillId="24" borderId="4" xfId="5" applyFont="1" applyFill="1" applyAlignment="1" applyProtection="1">
      <alignment horizontal="center" vertical="center"/>
      <protection hidden="1"/>
    </xf>
    <xf numFmtId="0" fontId="9" fillId="24" borderId="4" xfId="5" applyFont="1" applyFill="1" applyAlignment="1" applyProtection="1">
      <alignment horizontal="left" vertical="center"/>
      <protection hidden="1"/>
    </xf>
    <xf numFmtId="0" fontId="0" fillId="4" borderId="37" xfId="2" applyFont="1" applyBorder="1" applyAlignment="1" applyProtection="1">
      <alignment horizontal="center" vertical="center" wrapText="1"/>
      <protection hidden="1"/>
    </xf>
    <xf numFmtId="0" fontId="0" fillId="0" borderId="42" xfId="0" applyBorder="1" applyProtection="1">
      <protection hidden="1"/>
    </xf>
    <xf numFmtId="0" fontId="4" fillId="7" borderId="0" xfId="4" applyAlignment="1" applyProtection="1">
      <alignment horizontal="left" vertical="center" wrapText="1"/>
      <protection hidden="1"/>
    </xf>
    <xf numFmtId="9" fontId="10" fillId="0" borderId="0" xfId="221" applyFont="1" applyAlignment="1" applyProtection="1">
      <alignment horizontal="center" vertical="center" wrapText="1"/>
      <protection hidden="1"/>
    </xf>
    <xf numFmtId="0" fontId="10" fillId="0" borderId="0" xfId="0" applyFont="1" applyAlignment="1" applyProtection="1">
      <alignment horizontal="center" vertical="center" wrapText="1"/>
      <protection hidden="1"/>
    </xf>
    <xf numFmtId="0" fontId="4" fillId="0" borderId="0" xfId="4" applyFill="1" applyAlignment="1" applyProtection="1">
      <alignment horizontal="left" vertical="center" wrapText="1"/>
      <protection hidden="1"/>
    </xf>
    <xf numFmtId="0" fontId="19" fillId="7" borderId="0" xfId="0" applyFont="1" applyFill="1" applyAlignment="1" applyProtection="1">
      <alignment horizontal="center" vertical="center"/>
      <protection hidden="1"/>
    </xf>
    <xf numFmtId="0" fontId="16" fillId="7" borderId="0" xfId="0" applyFont="1" applyFill="1" applyAlignment="1" applyProtection="1">
      <alignment horizontal="center" vertical="center"/>
      <protection hidden="1"/>
    </xf>
    <xf numFmtId="0" fontId="16" fillId="24" borderId="0" xfId="0" applyFont="1" applyFill="1" applyAlignment="1" applyProtection="1">
      <alignment horizontal="center" vertical="center"/>
      <protection hidden="1"/>
    </xf>
    <xf numFmtId="164" fontId="16" fillId="24" borderId="0" xfId="0" applyNumberFormat="1" applyFont="1" applyFill="1" applyAlignment="1" applyProtection="1">
      <alignment horizontal="center" vertical="center"/>
      <protection hidden="1"/>
    </xf>
    <xf numFmtId="0" fontId="14" fillId="24" borderId="0" xfId="221" applyNumberFormat="1" applyFont="1" applyFill="1" applyAlignment="1" applyProtection="1">
      <alignment horizontal="center" vertical="center"/>
      <protection hidden="1"/>
    </xf>
    <xf numFmtId="164" fontId="14" fillId="24" borderId="0" xfId="221" applyNumberFormat="1" applyFont="1" applyFill="1" applyAlignment="1" applyProtection="1">
      <alignment horizontal="center" vertical="center"/>
      <protection hidden="1"/>
    </xf>
    <xf numFmtId="0" fontId="9" fillId="4" borderId="4" xfId="2" applyAlignment="1" applyProtection="1">
      <alignment horizontal="center" vertical="center" wrapText="1"/>
      <protection hidden="1"/>
    </xf>
    <xf numFmtId="0" fontId="0" fillId="24" borderId="4" xfId="2" applyFont="1" applyFill="1" applyAlignment="1" applyProtection="1">
      <alignment horizontal="left" vertical="center" wrapText="1"/>
      <protection hidden="1"/>
    </xf>
    <xf numFmtId="0" fontId="9" fillId="24" borderId="4" xfId="2" applyFill="1" applyAlignment="1" applyProtection="1">
      <alignment horizontal="center" vertical="center" wrapText="1"/>
      <protection hidden="1"/>
    </xf>
    <xf numFmtId="0" fontId="9" fillId="24" borderId="12" xfId="2" applyFill="1" applyBorder="1" applyAlignment="1" applyProtection="1">
      <alignment horizontal="left" vertical="center" wrapText="1"/>
      <protection hidden="1"/>
    </xf>
    <xf numFmtId="0" fontId="9" fillId="4" borderId="12" xfId="2" applyBorder="1" applyAlignment="1" applyProtection="1">
      <alignment horizontal="left" vertical="center" wrapText="1"/>
      <protection hidden="1"/>
    </xf>
    <xf numFmtId="0" fontId="8" fillId="0" borderId="0" xfId="0" applyFont="1" applyAlignment="1" applyProtection="1">
      <alignment horizontal="center" vertical="center" wrapText="1"/>
      <protection hidden="1"/>
    </xf>
    <xf numFmtId="0" fontId="2" fillId="0" borderId="0" xfId="0" applyFont="1" applyAlignment="1" applyProtection="1">
      <alignment horizontal="right" vertical="center"/>
      <protection hidden="1"/>
    </xf>
    <xf numFmtId="0" fontId="13" fillId="9" borderId="4" xfId="5" applyProtection="1">
      <alignment vertical="center"/>
      <protection hidden="1"/>
    </xf>
    <xf numFmtId="0" fontId="0" fillId="0" borderId="0" xfId="0" applyAlignment="1" applyProtection="1">
      <alignment vertical="center"/>
      <protection locked="0" hidden="1"/>
    </xf>
    <xf numFmtId="164" fontId="16" fillId="24" borderId="0" xfId="221" applyNumberFormat="1" applyFont="1" applyFill="1" applyAlignment="1">
      <alignment horizontal="center" vertical="center"/>
    </xf>
    <xf numFmtId="0" fontId="57" fillId="28" borderId="42" xfId="230" applyFont="1" applyFill="1" applyBorder="1" applyAlignment="1">
      <alignment horizontal="left" vertical="center" wrapText="1"/>
    </xf>
    <xf numFmtId="0" fontId="5" fillId="7" borderId="0" xfId="0" applyFont="1" applyFill="1" applyAlignment="1" applyProtection="1">
      <alignment vertical="center" wrapText="1"/>
      <protection hidden="1"/>
    </xf>
    <xf numFmtId="0" fontId="4" fillId="7" borderId="0" xfId="0" applyFont="1" applyFill="1" applyAlignment="1" applyProtection="1">
      <alignment vertical="center" wrapText="1"/>
      <protection hidden="1"/>
    </xf>
    <xf numFmtId="0" fontId="0" fillId="7" borderId="0" xfId="0" applyFill="1" applyProtection="1">
      <protection hidden="1"/>
    </xf>
    <xf numFmtId="165" fontId="11" fillId="3" borderId="0" xfId="6" applyFill="1" applyProtection="1">
      <protection hidden="1"/>
    </xf>
    <xf numFmtId="165" fontId="59" fillId="7" borderId="0" xfId="6" applyFont="1" applyFill="1" applyProtection="1">
      <protection hidden="1"/>
    </xf>
    <xf numFmtId="165" fontId="60" fillId="3" borderId="0" xfId="6" applyFont="1" applyFill="1" applyProtection="1">
      <protection hidden="1"/>
    </xf>
    <xf numFmtId="165" fontId="61" fillId="3" borderId="0" xfId="6" applyFont="1" applyFill="1" applyAlignment="1" applyProtection="1">
      <alignment horizontal="left"/>
      <protection hidden="1"/>
    </xf>
    <xf numFmtId="0" fontId="11" fillId="3" borderId="0" xfId="6" applyNumberFormat="1" applyFill="1" applyAlignment="1" applyProtection="1">
      <alignment vertical="top" wrapText="1"/>
      <protection hidden="1"/>
    </xf>
    <xf numFmtId="0" fontId="11" fillId="3" borderId="0" xfId="6" applyNumberFormat="1" applyFill="1" applyAlignment="1" applyProtection="1">
      <alignment horizontal="left" vertical="top" wrapText="1"/>
      <protection hidden="1"/>
    </xf>
    <xf numFmtId="165" fontId="60" fillId="3" borderId="0" xfId="9" applyFont="1" applyFill="1" applyProtection="1">
      <protection hidden="1"/>
    </xf>
    <xf numFmtId="165" fontId="60" fillId="0" borderId="0" xfId="9" applyFont="1" applyProtection="1">
      <protection hidden="1"/>
    </xf>
    <xf numFmtId="165" fontId="63" fillId="7" borderId="0" xfId="6" applyFont="1" applyFill="1" applyAlignment="1" applyProtection="1">
      <alignment horizontal="left" vertical="center"/>
      <protection hidden="1"/>
    </xf>
    <xf numFmtId="0" fontId="63" fillId="7" borderId="0" xfId="6" applyNumberFormat="1" applyFont="1" applyFill="1" applyAlignment="1" applyProtection="1">
      <alignment horizontal="justify" vertical="center" wrapText="1"/>
      <protection hidden="1"/>
    </xf>
    <xf numFmtId="0" fontId="62" fillId="7" borderId="0" xfId="6" applyNumberFormat="1" applyFont="1" applyFill="1" applyAlignment="1" applyProtection="1">
      <alignment horizontal="justify" vertical="center" wrapText="1"/>
      <protection hidden="1"/>
    </xf>
    <xf numFmtId="0" fontId="0" fillId="0" borderId="0" xfId="0" applyProtection="1">
      <protection locked="0" hidden="1"/>
    </xf>
    <xf numFmtId="0" fontId="4" fillId="7" borderId="0" xfId="0" applyFont="1" applyFill="1" applyAlignment="1" applyProtection="1">
      <alignment horizontal="left" vertical="center" wrapText="1"/>
      <protection locked="0" hidden="1"/>
    </xf>
    <xf numFmtId="0" fontId="0" fillId="0" borderId="0" xfId="0" applyAlignment="1" applyProtection="1">
      <alignment horizontal="left" vertical="center"/>
      <protection locked="0" hidden="1"/>
    </xf>
    <xf numFmtId="0" fontId="4" fillId="7" borderId="0" xfId="4" applyAlignment="1" applyProtection="1">
      <alignment horizontal="left" vertical="center" wrapText="1"/>
      <protection locked="0" hidden="1"/>
    </xf>
    <xf numFmtId="0" fontId="4" fillId="2" borderId="0" xfId="0" applyFont="1" applyFill="1" applyAlignment="1" applyProtection="1">
      <alignment vertical="center" wrapText="1"/>
      <protection hidden="1"/>
    </xf>
    <xf numFmtId="0" fontId="0" fillId="0" borderId="0" xfId="0" applyAlignment="1" applyProtection="1">
      <alignment horizontal="center"/>
      <protection hidden="1"/>
    </xf>
    <xf numFmtId="0" fontId="0" fillId="24" borderId="7" xfId="5" applyFont="1" applyFill="1" applyBorder="1" applyAlignment="1" applyProtection="1">
      <alignment horizontal="center" vertical="center"/>
      <protection hidden="1"/>
    </xf>
    <xf numFmtId="0" fontId="0" fillId="24" borderId="4" xfId="5" applyFont="1" applyFill="1" applyAlignment="1" applyProtection="1">
      <alignment horizontal="center" vertical="center"/>
      <protection hidden="1"/>
    </xf>
    <xf numFmtId="0" fontId="0" fillId="6" borderId="4" xfId="5" applyFont="1" applyFill="1" applyAlignment="1" applyProtection="1">
      <alignment horizontal="center" vertical="center"/>
      <protection hidden="1"/>
    </xf>
    <xf numFmtId="0" fontId="0" fillId="6" borderId="6" xfId="5" applyFont="1" applyFill="1" applyBorder="1" applyAlignment="1" applyProtection="1">
      <alignment horizontal="center" vertical="center"/>
      <protection hidden="1"/>
    </xf>
    <xf numFmtId="0" fontId="66" fillId="0" borderId="0" xfId="0" applyFont="1" applyAlignment="1" applyProtection="1">
      <alignment horizontal="center" vertical="center"/>
      <protection hidden="1"/>
    </xf>
    <xf numFmtId="0" fontId="0" fillId="0" borderId="42" xfId="0" applyBorder="1" applyAlignment="1" applyProtection="1">
      <alignment horizontal="center" vertical="center"/>
      <protection hidden="1"/>
    </xf>
    <xf numFmtId="0" fontId="8" fillId="0" borderId="46" xfId="0" applyFont="1" applyBorder="1" applyAlignment="1" applyProtection="1">
      <alignment horizontal="center" vertical="center"/>
      <protection hidden="1"/>
    </xf>
    <xf numFmtId="0" fontId="4" fillId="2" borderId="0" xfId="0" applyFont="1" applyFill="1" applyAlignment="1" applyProtection="1">
      <alignment horizontal="center" vertical="center" wrapText="1"/>
      <protection hidden="1"/>
    </xf>
    <xf numFmtId="0" fontId="0" fillId="0" borderId="42" xfId="0" applyBorder="1" applyAlignment="1" applyProtection="1">
      <alignment horizontal="center" vertical="center" wrapText="1"/>
      <protection locked="0" hidden="1"/>
    </xf>
    <xf numFmtId="0" fontId="0" fillId="0" borderId="42" xfId="0" applyBorder="1" applyAlignment="1" applyProtection="1">
      <alignment horizontal="center" vertical="center"/>
      <protection locked="0" hidden="1"/>
    </xf>
    <xf numFmtId="0" fontId="0" fillId="24" borderId="4" xfId="5" applyFont="1" applyFill="1" applyAlignment="1" applyProtection="1">
      <alignment horizontal="left" vertical="center"/>
      <protection hidden="1"/>
    </xf>
    <xf numFmtId="0" fontId="0" fillId="6" borderId="4" xfId="5" applyFont="1" applyFill="1" applyAlignment="1" applyProtection="1">
      <alignment horizontal="left" vertical="center"/>
      <protection hidden="1"/>
    </xf>
    <xf numFmtId="0" fontId="0" fillId="6" borderId="6" xfId="5" applyFont="1" applyFill="1" applyBorder="1" applyAlignment="1" applyProtection="1">
      <alignment horizontal="left" vertical="center"/>
      <protection hidden="1"/>
    </xf>
    <xf numFmtId="0" fontId="0" fillId="0" borderId="47" xfId="0" applyBorder="1" applyAlignment="1" applyProtection="1">
      <alignment wrapText="1"/>
      <protection hidden="1"/>
    </xf>
    <xf numFmtId="0" fontId="0" fillId="7" borderId="42" xfId="0" applyFill="1" applyBorder="1" applyAlignment="1" applyProtection="1">
      <alignment wrapText="1"/>
      <protection hidden="1"/>
    </xf>
    <xf numFmtId="164" fontId="14" fillId="24" borderId="0" xfId="0" applyNumberFormat="1" applyFont="1" applyFill="1" applyAlignment="1" applyProtection="1">
      <alignment horizontal="center" vertical="center"/>
      <protection hidden="1"/>
    </xf>
    <xf numFmtId="0" fontId="4" fillId="0" borderId="0" xfId="0" applyFont="1" applyAlignment="1" applyProtection="1">
      <alignment vertical="center" wrapText="1"/>
      <protection hidden="1"/>
    </xf>
    <xf numFmtId="0" fontId="2" fillId="0" borderId="0" xfId="0" applyFont="1" applyAlignment="1" applyProtection="1">
      <alignment horizontal="center" vertical="center" wrapText="1"/>
      <protection locked="0" hidden="1"/>
    </xf>
    <xf numFmtId="0" fontId="14" fillId="0" borderId="0" xfId="0" applyFont="1" applyAlignment="1" applyProtection="1">
      <alignment horizontal="center" vertical="center" wrapText="1"/>
      <protection locked="0" hidden="1"/>
    </xf>
    <xf numFmtId="0" fontId="1" fillId="0" borderId="0" xfId="0" applyFont="1" applyAlignment="1" applyProtection="1">
      <alignment horizontal="center" vertical="center" wrapText="1"/>
      <protection locked="0" hidden="1"/>
    </xf>
    <xf numFmtId="0" fontId="4" fillId="7" borderId="0" xfId="0" applyFont="1" applyFill="1" applyAlignment="1" applyProtection="1">
      <alignment horizontal="center" vertical="center" wrapText="1"/>
      <protection locked="0" hidden="1"/>
    </xf>
    <xf numFmtId="0" fontId="0" fillId="0" borderId="0" xfId="0" applyAlignment="1" applyProtection="1">
      <alignment horizontal="center" vertical="center" wrapText="1"/>
      <protection locked="0" hidden="1"/>
    </xf>
    <xf numFmtId="0" fontId="66" fillId="0" borderId="0" xfId="0" applyFont="1" applyAlignment="1" applyProtection="1">
      <alignment horizontal="center" vertical="center"/>
      <protection locked="0" hidden="1"/>
    </xf>
    <xf numFmtId="0" fontId="4" fillId="0" borderId="0" xfId="4" applyFill="1" applyAlignment="1" applyProtection="1">
      <alignment horizontal="left" vertical="center" wrapText="1"/>
      <protection locked="0" hidden="1"/>
    </xf>
    <xf numFmtId="0" fontId="4" fillId="2" borderId="0" xfId="0" applyFont="1" applyFill="1" applyAlignment="1" applyProtection="1">
      <alignment horizontal="left" vertical="center" wrapText="1"/>
      <protection locked="0" hidden="1"/>
    </xf>
    <xf numFmtId="0" fontId="5" fillId="2" borderId="0" xfId="0" applyFont="1" applyFill="1" applyAlignment="1" applyProtection="1">
      <alignment horizontal="left" vertical="center" wrapText="1"/>
      <protection locked="0" hidden="1"/>
    </xf>
    <xf numFmtId="0" fontId="16" fillId="4" borderId="37" xfId="2" applyFont="1" applyBorder="1" applyAlignment="1" applyProtection="1">
      <alignment horizontal="left" vertical="center" wrapText="1"/>
      <protection hidden="1"/>
    </xf>
    <xf numFmtId="0" fontId="16" fillId="4" borderId="36" xfId="2" applyFont="1" applyBorder="1" applyAlignment="1" applyProtection="1">
      <alignment horizontal="left" vertical="center" wrapText="1"/>
      <protection hidden="1"/>
    </xf>
    <xf numFmtId="0" fontId="16" fillId="4" borderId="38" xfId="2" applyFont="1" applyBorder="1" applyAlignment="1" applyProtection="1">
      <alignment horizontal="left" vertical="center" wrapText="1"/>
      <protection hidden="1"/>
    </xf>
    <xf numFmtId="0" fontId="9" fillId="4" borderId="6" xfId="2" applyBorder="1" applyAlignment="1" applyProtection="1">
      <alignment horizontal="left" vertical="center" wrapText="1"/>
      <protection hidden="1"/>
    </xf>
    <xf numFmtId="0" fontId="9" fillId="4" borderId="7" xfId="2" applyBorder="1" applyAlignment="1" applyProtection="1">
      <alignment horizontal="left" vertical="center" wrapText="1"/>
      <protection hidden="1"/>
    </xf>
    <xf numFmtId="0" fontId="0" fillId="24" borderId="4" xfId="5" applyFont="1" applyFill="1" applyAlignment="1" applyProtection="1">
      <alignment horizontal="left" vertical="center" wrapText="1"/>
      <protection hidden="1"/>
    </xf>
    <xf numFmtId="0" fontId="0" fillId="4" borderId="12" xfId="2" applyFont="1" applyBorder="1" applyAlignment="1" applyProtection="1">
      <alignment horizontal="left" vertical="center" wrapText="1"/>
      <protection hidden="1"/>
    </xf>
    <xf numFmtId="0" fontId="16" fillId="0" borderId="42" xfId="0" applyFont="1" applyBorder="1" applyProtection="1">
      <protection hidden="1"/>
    </xf>
    <xf numFmtId="0" fontId="0" fillId="4" borderId="5" xfId="2" applyFont="1" applyBorder="1" applyAlignment="1" applyProtection="1">
      <alignment horizontal="left" vertical="center" wrapText="1"/>
      <protection locked="0" hidden="1"/>
    </xf>
    <xf numFmtId="0" fontId="0" fillId="4" borderId="15" xfId="2" applyFont="1" applyBorder="1" applyAlignment="1" applyProtection="1">
      <alignment horizontal="left" vertical="center" wrapText="1"/>
      <protection locked="0" hidden="1"/>
    </xf>
    <xf numFmtId="0" fontId="0" fillId="0" borderId="0" xfId="0" applyAlignment="1" applyProtection="1">
      <alignment horizontal="left" vertical="center" wrapText="1"/>
      <protection locked="0" hidden="1"/>
    </xf>
    <xf numFmtId="0" fontId="2" fillId="0" borderId="0" xfId="0" applyFont="1" applyAlignment="1" applyProtection="1">
      <alignment horizontal="left" vertical="center" wrapText="1"/>
      <protection locked="0" hidden="1"/>
    </xf>
    <xf numFmtId="0" fontId="0" fillId="4" borderId="4" xfId="2" applyFont="1" applyAlignment="1" applyProtection="1">
      <alignment horizontal="center" vertical="center" wrapText="1"/>
      <protection hidden="1"/>
    </xf>
    <xf numFmtId="0" fontId="0" fillId="0" borderId="47" xfId="0" applyBorder="1" applyProtection="1">
      <protection hidden="1"/>
    </xf>
    <xf numFmtId="0" fontId="57" fillId="28" borderId="43" xfId="230" applyFont="1" applyFill="1" applyBorder="1" applyAlignment="1">
      <alignment vertical="center" wrapText="1"/>
    </xf>
    <xf numFmtId="0" fontId="18" fillId="0" borderId="0" xfId="0" applyFont="1" applyAlignment="1" applyProtection="1">
      <alignment horizontal="center" vertical="center"/>
      <protection locked="0"/>
    </xf>
    <xf numFmtId="0" fontId="2" fillId="0" borderId="0" xfId="0" applyFont="1" applyAlignment="1" applyProtection="1">
      <alignment vertical="center"/>
      <protection locked="0"/>
    </xf>
    <xf numFmtId="0" fontId="20"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4" fillId="7" borderId="0" xfId="0" applyFont="1" applyFill="1" applyAlignment="1" applyProtection="1">
      <alignment horizontal="left" vertical="center" wrapText="1"/>
      <protection locked="0"/>
    </xf>
    <xf numFmtId="0" fontId="4" fillId="7" borderId="0" xfId="0" applyFont="1" applyFill="1" applyAlignment="1" applyProtection="1">
      <alignment horizontal="center" vertical="center" wrapText="1"/>
      <protection locked="0"/>
    </xf>
    <xf numFmtId="0" fontId="4" fillId="8" borderId="7"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protection locked="0"/>
    </xf>
    <xf numFmtId="0" fontId="2" fillId="0" borderId="5" xfId="0" applyFont="1" applyBorder="1" applyAlignment="1" applyProtection="1">
      <alignment vertical="center"/>
      <protection locked="0"/>
    </xf>
    <xf numFmtId="0" fontId="25" fillId="3" borderId="0" xfId="0" applyFont="1" applyFill="1" applyAlignment="1" applyProtection="1">
      <alignment horizontal="center" vertical="center"/>
      <protection locked="0"/>
    </xf>
    <xf numFmtId="0" fontId="25" fillId="0" borderId="0" xfId="0" applyFont="1" applyAlignment="1" applyProtection="1">
      <alignment horizontal="center" vertical="center"/>
      <protection locked="0"/>
    </xf>
    <xf numFmtId="0" fontId="18" fillId="0" borderId="0" xfId="0" applyFont="1" applyAlignment="1" applyProtection="1">
      <alignment vertical="center"/>
      <protection locked="0"/>
    </xf>
    <xf numFmtId="0" fontId="25" fillId="0" borderId="0" xfId="0" applyFont="1" applyProtection="1">
      <protection locked="0"/>
    </xf>
    <xf numFmtId="0" fontId="0" fillId="0" borderId="0" xfId="0" applyProtection="1">
      <protection locked="0"/>
    </xf>
    <xf numFmtId="0" fontId="7" fillId="0" borderId="0" xfId="0" applyFont="1" applyAlignment="1" applyProtection="1">
      <alignment vertical="center"/>
      <protection locked="0"/>
    </xf>
    <xf numFmtId="9" fontId="10" fillId="0" borderId="0" xfId="221" applyFont="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0" fillId="0" borderId="42" xfId="0" applyBorder="1" applyAlignment="1" applyProtection="1">
      <alignment horizontal="center" vertical="center" wrapText="1"/>
      <protection hidden="1"/>
    </xf>
    <xf numFmtId="0" fontId="64" fillId="0" borderId="42" xfId="0" applyFont="1" applyBorder="1" applyAlignment="1" applyProtection="1">
      <alignment horizontal="center" vertical="center"/>
      <protection hidden="1"/>
    </xf>
    <xf numFmtId="0" fontId="64" fillId="0" borderId="42" xfId="0" applyFont="1" applyBorder="1" applyAlignment="1" applyProtection="1">
      <alignment horizontal="center" vertical="center"/>
      <protection locked="0" hidden="1"/>
    </xf>
    <xf numFmtId="0" fontId="65" fillId="0" borderId="42" xfId="0" applyFont="1" applyBorder="1" applyAlignment="1" applyProtection="1">
      <alignment horizontal="center" vertical="center" wrapText="1"/>
      <protection hidden="1"/>
    </xf>
    <xf numFmtId="0" fontId="6" fillId="0" borderId="42" xfId="0" applyFont="1" applyBorder="1" applyAlignment="1" applyProtection="1">
      <alignment horizontal="center" vertical="center"/>
      <protection locked="0" hidden="1"/>
    </xf>
    <xf numFmtId="0" fontId="6" fillId="0" borderId="42" xfId="0" applyFont="1" applyBorder="1" applyAlignment="1" applyProtection="1">
      <alignment horizontal="center" vertical="center" wrapText="1"/>
      <protection hidden="1"/>
    </xf>
    <xf numFmtId="0" fontId="64" fillId="7" borderId="42" xfId="0" applyFont="1" applyFill="1" applyBorder="1" applyAlignment="1" applyProtection="1">
      <alignment horizontal="center" vertical="center"/>
      <protection hidden="1"/>
    </xf>
    <xf numFmtId="0" fontId="6" fillId="7" borderId="42" xfId="0" applyFont="1" applyFill="1" applyBorder="1" applyAlignment="1" applyProtection="1">
      <alignment horizontal="center" vertical="center" wrapText="1"/>
      <protection hidden="1"/>
    </xf>
    <xf numFmtId="0" fontId="65" fillId="7" borderId="42" xfId="0" applyFont="1" applyFill="1" applyBorder="1" applyAlignment="1" applyProtection="1">
      <alignment horizontal="center" vertical="center" wrapText="1"/>
      <protection hidden="1"/>
    </xf>
    <xf numFmtId="0" fontId="64" fillId="0" borderId="0" xfId="0" applyFont="1" applyAlignment="1" applyProtection="1">
      <alignment horizontal="center" vertical="center"/>
      <protection hidden="1"/>
    </xf>
    <xf numFmtId="1" fontId="64" fillId="0" borderId="0" xfId="0" applyNumberFormat="1" applyFont="1" applyAlignment="1" applyProtection="1">
      <alignment horizontal="center" vertical="center"/>
      <protection hidden="1"/>
    </xf>
    <xf numFmtId="0" fontId="6" fillId="0" borderId="48" xfId="0" applyFont="1" applyBorder="1" applyAlignment="1" applyProtection="1">
      <alignment horizontal="center" vertical="center" wrapText="1"/>
      <protection hidden="1"/>
    </xf>
    <xf numFmtId="0" fontId="0" fillId="0" borderId="0" xfId="0" applyAlignment="1" applyProtection="1">
      <alignment horizontal="left" vertical="center"/>
      <protection locked="0"/>
    </xf>
    <xf numFmtId="0" fontId="3" fillId="0" borderId="0" xfId="0" applyFont="1" applyAlignment="1" applyProtection="1">
      <alignment horizontal="left" vertical="center"/>
      <protection locked="0"/>
    </xf>
    <xf numFmtId="0" fontId="2" fillId="0" borderId="0" xfId="0" applyFont="1" applyAlignment="1" applyProtection="1">
      <alignment horizontal="left" vertical="center"/>
      <protection locked="0"/>
    </xf>
    <xf numFmtId="0" fontId="0" fillId="4" borderId="15" xfId="2" applyFont="1" applyBorder="1" applyAlignment="1" applyProtection="1">
      <alignment horizontal="left" vertical="center"/>
      <protection locked="0"/>
    </xf>
    <xf numFmtId="0" fontId="4" fillId="0" borderId="0" xfId="4" applyFill="1" applyAlignment="1">
      <alignment horizontal="left" vertical="center" wrapText="1"/>
      <protection locked="0"/>
    </xf>
    <xf numFmtId="0" fontId="4" fillId="2" borderId="0" xfId="0" applyFont="1" applyFill="1" applyAlignment="1" applyProtection="1">
      <alignment horizontal="left" vertical="center" wrapText="1"/>
      <protection locked="0"/>
    </xf>
    <xf numFmtId="0" fontId="0" fillId="3" borderId="0" xfId="0" applyFill="1" applyAlignment="1" applyProtection="1">
      <alignment horizontal="left" vertical="center"/>
      <protection locked="0"/>
    </xf>
    <xf numFmtId="0" fontId="4" fillId="2" borderId="0" xfId="0" applyFont="1" applyFill="1" applyAlignment="1" applyProtection="1">
      <alignment vertical="center" wrapText="1"/>
      <protection locked="0"/>
    </xf>
    <xf numFmtId="0" fontId="2" fillId="3" borderId="0" xfId="0" applyFont="1" applyFill="1" applyAlignment="1" applyProtection="1">
      <alignment horizontal="left" vertical="center"/>
      <protection locked="0"/>
    </xf>
    <xf numFmtId="0" fontId="5" fillId="2" borderId="0" xfId="0" applyFont="1" applyFill="1" applyAlignment="1" applyProtection="1">
      <alignment horizontal="left" vertical="center" wrapText="1"/>
      <protection locked="0"/>
    </xf>
    <xf numFmtId="0" fontId="7" fillId="0" borderId="0" xfId="0" applyFont="1" applyAlignment="1" applyProtection="1">
      <alignment horizontal="left" vertical="center"/>
      <protection locked="0"/>
    </xf>
    <xf numFmtId="0" fontId="6" fillId="0" borderId="0" xfId="0" applyFont="1" applyAlignment="1" applyProtection="1">
      <alignment horizontal="left" vertical="center"/>
      <protection locked="0"/>
    </xf>
    <xf numFmtId="0" fontId="3" fillId="0" borderId="0" xfId="0" applyFont="1" applyAlignment="1" applyProtection="1">
      <alignment vertical="center"/>
      <protection locked="0" hidden="1"/>
    </xf>
    <xf numFmtId="0" fontId="2" fillId="0" borderId="0" xfId="0" applyFont="1" applyAlignment="1" applyProtection="1">
      <alignment vertical="center"/>
      <protection locked="0" hidden="1"/>
    </xf>
    <xf numFmtId="0" fontId="4" fillId="0" borderId="0" xfId="4" applyFill="1">
      <alignment horizontal="center" vertical="center" wrapText="1"/>
      <protection locked="0"/>
    </xf>
    <xf numFmtId="0" fontId="4" fillId="2" borderId="0" xfId="0" applyFont="1" applyFill="1" applyAlignment="1" applyProtection="1">
      <alignment horizontal="center" vertical="center" wrapText="1"/>
      <protection locked="0"/>
    </xf>
    <xf numFmtId="0" fontId="0" fillId="0" borderId="0" xfId="0" applyAlignment="1" applyProtection="1">
      <alignment horizontal="center" vertical="center"/>
      <protection locked="0"/>
    </xf>
    <xf numFmtId="0" fontId="5" fillId="2" borderId="0" xfId="0" applyFont="1" applyFill="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0" fillId="0" borderId="0" xfId="0" applyAlignment="1" applyProtection="1">
      <alignment horizontal="center"/>
      <protection locked="0"/>
    </xf>
    <xf numFmtId="0" fontId="2" fillId="0" borderId="0" xfId="0" applyFont="1" applyAlignment="1">
      <alignment horizontal="center" vertical="center"/>
    </xf>
    <xf numFmtId="0" fontId="70" fillId="0" borderId="0" xfId="0" applyFont="1" applyAlignment="1">
      <alignment horizontal="center" vertical="center"/>
    </xf>
    <xf numFmtId="0" fontId="4" fillId="7" borderId="0" xfId="0" applyFont="1" applyFill="1" applyAlignment="1">
      <alignment horizontal="center" vertical="center" wrapText="1"/>
    </xf>
    <xf numFmtId="0" fontId="12" fillId="7" borderId="0" xfId="0" applyFont="1" applyFill="1" applyAlignment="1">
      <alignment horizontal="center" vertical="center" wrapText="1"/>
    </xf>
    <xf numFmtId="0" fontId="14" fillId="0" borderId="0" xfId="0" applyFont="1" applyAlignment="1" applyProtection="1">
      <alignment vertical="center"/>
      <protection locked="0" hidden="1"/>
    </xf>
    <xf numFmtId="0" fontId="12" fillId="7" borderId="0" xfId="0" applyFont="1" applyFill="1" applyAlignment="1">
      <alignment horizontal="left" vertical="center" wrapText="1"/>
    </xf>
    <xf numFmtId="0" fontId="13" fillId="9" borderId="15" xfId="2" applyFont="1" applyFill="1" applyBorder="1" applyAlignment="1" applyProtection="1">
      <alignment horizontal="center" vertical="center" wrapText="1"/>
      <protection locked="0"/>
    </xf>
    <xf numFmtId="0" fontId="13" fillId="9" borderId="15" xfId="2" applyFont="1" applyFill="1" applyBorder="1" applyAlignment="1" applyProtection="1">
      <alignment horizontal="left" vertical="center" wrapText="1"/>
      <protection locked="0"/>
    </xf>
    <xf numFmtId="0" fontId="0" fillId="0" borderId="0" xfId="0" applyAlignment="1" applyProtection="1">
      <alignment horizontal="center" vertical="center" wrapText="1"/>
      <protection locked="0"/>
    </xf>
    <xf numFmtId="0" fontId="0" fillId="0" borderId="0" xfId="0" applyAlignment="1" applyProtection="1">
      <alignment horizontal="left" vertical="center" wrapText="1"/>
      <protection locked="0"/>
    </xf>
    <xf numFmtId="0" fontId="0" fillId="3" borderId="0" xfId="0" applyFill="1" applyAlignment="1" applyProtection="1">
      <alignment horizontal="center" vertical="center" wrapText="1"/>
      <protection locked="0"/>
    </xf>
    <xf numFmtId="0" fontId="0" fillId="3" borderId="0" xfId="0" applyFill="1" applyAlignment="1" applyProtection="1">
      <alignment horizontal="left" vertical="center" wrapText="1"/>
      <protection locked="0"/>
    </xf>
    <xf numFmtId="0" fontId="2" fillId="3" borderId="0" xfId="0" applyFont="1" applyFill="1" applyAlignment="1" applyProtection="1">
      <alignment horizontal="center" vertical="center" wrapText="1"/>
      <protection locked="0"/>
    </xf>
    <xf numFmtId="0" fontId="2" fillId="3" borderId="0" xfId="0" applyFont="1" applyFill="1" applyAlignment="1" applyProtection="1">
      <alignment horizontal="left" vertical="center" wrapText="1"/>
      <protection locked="0"/>
    </xf>
    <xf numFmtId="0" fontId="24" fillId="3" borderId="0" xfId="6" applyNumberFormat="1" applyFont="1" applyFill="1" applyAlignment="1" applyProtection="1">
      <alignment horizontal="left" vertical="top" wrapText="1"/>
      <protection hidden="1"/>
    </xf>
    <xf numFmtId="0" fontId="57" fillId="28" borderId="43" xfId="230" applyFont="1" applyFill="1" applyBorder="1" applyAlignment="1">
      <alignment horizontal="center" vertical="center" wrapText="1"/>
    </xf>
    <xf numFmtId="0" fontId="0" fillId="4" borderId="4" xfId="2" applyFont="1" applyAlignment="1" applyProtection="1">
      <alignment vertical="center" wrapText="1"/>
      <protection hidden="1"/>
    </xf>
    <xf numFmtId="0" fontId="5" fillId="2" borderId="7" xfId="0" applyFont="1" applyFill="1" applyBorder="1" applyAlignment="1" applyProtection="1">
      <alignment horizontal="left" vertical="center" wrapText="1"/>
      <protection hidden="1"/>
    </xf>
    <xf numFmtId="0" fontId="4" fillId="2" borderId="0" xfId="0" applyFont="1" applyFill="1" applyAlignment="1" applyProtection="1">
      <alignment horizontal="left" vertical="center" wrapText="1"/>
      <protection hidden="1"/>
    </xf>
    <xf numFmtId="0" fontId="0" fillId="4" borderId="4" xfId="2" applyFont="1" applyAlignment="1" applyProtection="1">
      <alignment horizontal="left" vertical="center" wrapText="1"/>
      <protection hidden="1"/>
    </xf>
    <xf numFmtId="0" fontId="0" fillId="4" borderId="6" xfId="2" applyFont="1" applyBorder="1" applyAlignment="1" applyProtection="1">
      <alignment horizontal="left" vertical="center" wrapText="1"/>
      <protection hidden="1"/>
    </xf>
    <xf numFmtId="0" fontId="4" fillId="0" borderId="0" xfId="0" applyFont="1" applyAlignment="1" applyProtection="1">
      <alignment horizontal="center" vertical="center" wrapText="1"/>
      <protection locked="0"/>
    </xf>
    <xf numFmtId="0" fontId="0" fillId="4" borderId="7" xfId="2" applyFont="1" applyBorder="1" applyAlignment="1" applyProtection="1">
      <alignment horizontal="center" vertical="center" wrapText="1"/>
      <protection hidden="1"/>
    </xf>
    <xf numFmtId="0" fontId="0" fillId="4" borderId="12" xfId="2" applyFont="1" applyBorder="1" applyAlignment="1" applyProtection="1">
      <alignment horizontal="center" vertical="center" wrapText="1"/>
      <protection hidden="1"/>
    </xf>
    <xf numFmtId="0" fontId="0" fillId="4" borderId="39" xfId="2" applyFont="1" applyBorder="1" applyAlignment="1" applyProtection="1">
      <alignment horizontal="center" vertical="center" wrapText="1"/>
      <protection hidden="1"/>
    </xf>
    <xf numFmtId="0" fontId="0" fillId="24" borderId="4" xfId="5" applyFont="1" applyFill="1" applyAlignment="1" applyProtection="1">
      <alignment horizontal="center" vertical="center" wrapText="1"/>
      <protection hidden="1"/>
    </xf>
    <xf numFmtId="164" fontId="9" fillId="4" borderId="4" xfId="2" applyNumberFormat="1" applyAlignment="1" applyProtection="1">
      <alignment horizontal="center" vertical="center" wrapText="1"/>
      <protection hidden="1"/>
    </xf>
    <xf numFmtId="1" fontId="0" fillId="4" borderId="4" xfId="2" applyNumberFormat="1" applyFont="1" applyAlignment="1" applyProtection="1">
      <alignment horizontal="center" vertical="center"/>
      <protection hidden="1"/>
    </xf>
    <xf numFmtId="1" fontId="9" fillId="4" borderId="4" xfId="2" applyNumberFormat="1" applyAlignment="1" applyProtection="1">
      <alignment horizontal="center" vertical="center" wrapText="1"/>
      <protection hidden="1"/>
    </xf>
    <xf numFmtId="1" fontId="9" fillId="4" borderId="4" xfId="2" applyNumberFormat="1" applyAlignment="1" applyProtection="1">
      <alignment horizontal="center" vertical="center"/>
      <protection hidden="1"/>
    </xf>
    <xf numFmtId="1" fontId="9" fillId="4" borderId="6" xfId="2" applyNumberFormat="1" applyBorder="1" applyAlignment="1" applyProtection="1">
      <alignment horizontal="center" vertical="center"/>
      <protection hidden="1"/>
    </xf>
    <xf numFmtId="0" fontId="9" fillId="3" borderId="0" xfId="222" applyFill="1"/>
    <xf numFmtId="0" fontId="1" fillId="3" borderId="0" xfId="222" applyFont="1" applyFill="1" applyAlignment="1">
      <alignment vertical="center"/>
    </xf>
    <xf numFmtId="0" fontId="9" fillId="3" borderId="0" xfId="222" applyFill="1" applyAlignment="1">
      <alignment vertical="center"/>
    </xf>
    <xf numFmtId="0" fontId="5" fillId="29" borderId="0" xfId="222" applyFont="1" applyFill="1" applyAlignment="1">
      <alignment vertical="center"/>
    </xf>
    <xf numFmtId="0" fontId="1" fillId="29" borderId="0" xfId="222" applyFont="1" applyFill="1" applyAlignment="1">
      <alignment vertical="center"/>
    </xf>
    <xf numFmtId="0" fontId="0" fillId="3" borderId="0" xfId="0" applyFill="1" applyProtection="1">
      <protection hidden="1"/>
    </xf>
    <xf numFmtId="0" fontId="0" fillId="3" borderId="0" xfId="0" applyFill="1" applyAlignment="1" applyProtection="1">
      <alignment horizontal="center"/>
      <protection hidden="1"/>
    </xf>
    <xf numFmtId="14" fontId="11" fillId="0" borderId="42" xfId="230" applyNumberFormat="1" applyBorder="1" applyAlignment="1">
      <alignment horizontal="center" vertical="center" wrapText="1"/>
    </xf>
    <xf numFmtId="0" fontId="16" fillId="4" borderId="36" xfId="2" applyFont="1" applyBorder="1" applyAlignment="1" applyProtection="1">
      <alignment vertical="center" wrapText="1"/>
      <protection hidden="1"/>
    </xf>
    <xf numFmtId="0" fontId="0" fillId="4" borderId="0" xfId="2" applyFont="1" applyBorder="1" applyAlignment="1" applyProtection="1">
      <alignment vertical="center" wrapText="1"/>
      <protection hidden="1"/>
    </xf>
    <xf numFmtId="0" fontId="0" fillId="4" borderId="15" xfId="2" applyFont="1" applyBorder="1" applyAlignment="1" applyProtection="1">
      <alignment horizontal="left" vertical="center" wrapText="1"/>
      <protection locked="0"/>
    </xf>
    <xf numFmtId="0" fontId="0" fillId="0" borderId="0" xfId="0" applyAlignment="1" applyProtection="1">
      <alignment horizontal="left"/>
      <protection locked="0" hidden="1"/>
    </xf>
    <xf numFmtId="0" fontId="0" fillId="0" borderId="0" xfId="0" applyAlignment="1" applyProtection="1">
      <alignment horizontal="left" wrapText="1"/>
      <protection hidden="1"/>
    </xf>
    <xf numFmtId="0" fontId="0" fillId="0" borderId="0" xfId="0" applyAlignment="1" applyProtection="1">
      <alignment vertical="center" wrapText="1"/>
      <protection hidden="1"/>
    </xf>
    <xf numFmtId="0" fontId="13" fillId="9" borderId="4" xfId="5">
      <alignment vertical="center"/>
    </xf>
    <xf numFmtId="0" fontId="0" fillId="0" borderId="0" xfId="0" applyAlignment="1" applyProtection="1">
      <alignment horizontal="center" vertical="center"/>
      <protection locked="0" hidden="1"/>
    </xf>
    <xf numFmtId="0" fontId="41" fillId="10" borderId="34" xfId="200" applyNumberFormat="1"/>
    <xf numFmtId="0" fontId="4" fillId="30" borderId="0" xfId="0" applyFont="1" applyFill="1" applyAlignment="1">
      <alignment horizontal="center" vertical="center" wrapText="1"/>
    </xf>
    <xf numFmtId="0" fontId="12" fillId="30" borderId="0" xfId="0" applyFont="1" applyFill="1" applyAlignment="1">
      <alignment horizontal="center" vertical="center" wrapText="1"/>
    </xf>
    <xf numFmtId="0" fontId="12" fillId="30" borderId="0" xfId="0" applyFont="1" applyFill="1" applyAlignment="1">
      <alignment horizontal="left" vertical="center" wrapText="1"/>
    </xf>
    <xf numFmtId="0" fontId="0" fillId="0" borderId="56" xfId="0" applyBorder="1" applyAlignment="1" applyProtection="1">
      <alignment vertical="center"/>
      <protection locked="0"/>
    </xf>
    <xf numFmtId="0" fontId="0" fillId="0" borderId="57" xfId="0" applyBorder="1" applyAlignment="1" applyProtection="1">
      <alignment horizontal="left" vertical="center"/>
      <protection locked="0"/>
    </xf>
    <xf numFmtId="0" fontId="3" fillId="0" borderId="57" xfId="0" applyFont="1" applyBorder="1" applyAlignment="1" applyProtection="1">
      <alignment horizontal="left" vertical="center"/>
      <protection locked="0"/>
    </xf>
    <xf numFmtId="0" fontId="2" fillId="0" borderId="58" xfId="0" applyFont="1" applyBorder="1" applyAlignment="1" applyProtection="1">
      <alignment horizontal="left" vertical="center"/>
      <protection locked="0"/>
    </xf>
    <xf numFmtId="0" fontId="13" fillId="9" borderId="4" xfId="5" applyAlignment="1">
      <alignment horizontal="center" vertical="center"/>
    </xf>
    <xf numFmtId="0" fontId="9" fillId="3" borderId="37" xfId="2" applyFill="1" applyBorder="1" applyAlignment="1" applyProtection="1">
      <alignment horizontal="center" vertical="center" wrapText="1"/>
      <protection locked="0" hidden="1"/>
    </xf>
    <xf numFmtId="0" fontId="76" fillId="0" borderId="0" xfId="0" applyFont="1" applyAlignment="1" applyProtection="1">
      <alignment vertical="center"/>
      <protection hidden="1"/>
    </xf>
    <xf numFmtId="0" fontId="77" fillId="8" borderId="0" xfId="0" applyFont="1" applyFill="1" applyAlignment="1" applyProtection="1">
      <alignment vertical="center" wrapText="1"/>
      <protection hidden="1"/>
    </xf>
    <xf numFmtId="0" fontId="78" fillId="3" borderId="5" xfId="2" applyFont="1" applyFill="1" applyBorder="1" applyAlignment="1" applyProtection="1">
      <alignment horizontal="center" vertical="center" wrapText="1"/>
      <protection hidden="1"/>
    </xf>
    <xf numFmtId="0" fontId="79" fillId="4" borderId="37" xfId="2" applyFont="1" applyBorder="1" applyAlignment="1" applyProtection="1">
      <alignment vertical="center" wrapText="1"/>
      <protection hidden="1"/>
    </xf>
    <xf numFmtId="0" fontId="79" fillId="4" borderId="4" xfId="2" applyFont="1" applyAlignment="1" applyProtection="1">
      <alignment vertical="center" wrapText="1"/>
      <protection hidden="1"/>
    </xf>
    <xf numFmtId="0" fontId="80" fillId="3" borderId="12" xfId="1" applyNumberFormat="1" applyFont="1" applyFill="1" applyBorder="1" applyAlignment="1" applyProtection="1">
      <alignment horizontal="left" vertical="center" wrapText="1"/>
      <protection locked="0"/>
    </xf>
    <xf numFmtId="0" fontId="81" fillId="0" borderId="0" xfId="0" applyFont="1" applyAlignment="1" applyProtection="1">
      <alignment horizontal="center" vertical="center"/>
      <protection hidden="1"/>
    </xf>
    <xf numFmtId="0" fontId="79" fillId="4" borderId="6" xfId="2" applyFont="1" applyBorder="1" applyAlignment="1" applyProtection="1">
      <alignment horizontal="left" vertical="center" wrapText="1"/>
      <protection hidden="1"/>
    </xf>
    <xf numFmtId="0" fontId="78" fillId="4" borderId="37" xfId="2" applyFont="1" applyBorder="1" applyAlignment="1" applyProtection="1">
      <alignment horizontal="center" vertical="center" wrapText="1"/>
      <protection hidden="1"/>
    </xf>
    <xf numFmtId="0" fontId="79" fillId="4" borderId="0" xfId="2" applyFont="1" applyBorder="1" applyAlignment="1" applyProtection="1">
      <alignment horizontal="left" vertical="center" wrapText="1"/>
      <protection hidden="1"/>
    </xf>
    <xf numFmtId="0" fontId="79" fillId="4" borderId="7" xfId="2" applyFont="1" applyBorder="1" applyAlignment="1" applyProtection="1">
      <alignment horizontal="left" vertical="center" wrapText="1"/>
      <protection hidden="1"/>
    </xf>
    <xf numFmtId="164" fontId="65" fillId="9" borderId="9" xfId="0" applyNumberFormat="1" applyFont="1" applyFill="1" applyBorder="1" applyAlignment="1">
      <alignment horizontal="center" vertical="center"/>
    </xf>
    <xf numFmtId="1" fontId="80" fillId="3" borderId="12" xfId="1" applyNumberFormat="1" applyFont="1" applyFill="1" applyBorder="1" applyAlignment="1" applyProtection="1">
      <alignment horizontal="left" vertical="center" wrapText="1"/>
      <protection locked="0"/>
    </xf>
    <xf numFmtId="165" fontId="82" fillId="3" borderId="0" xfId="1" applyFont="1" applyFill="1" applyAlignment="1" applyProtection="1">
      <alignment vertical="center"/>
      <protection hidden="1"/>
    </xf>
    <xf numFmtId="1" fontId="76" fillId="3" borderId="0" xfId="1" applyNumberFormat="1" applyFont="1" applyFill="1" applyAlignment="1" applyProtection="1">
      <alignment horizontal="left" vertical="center" wrapText="1"/>
      <protection hidden="1"/>
    </xf>
    <xf numFmtId="17" fontId="80" fillId="3" borderId="12" xfId="1" applyNumberFormat="1" applyFont="1" applyFill="1" applyBorder="1" applyAlignment="1" applyProtection="1">
      <alignment horizontal="left" vertical="center" wrapText="1"/>
      <protection locked="0"/>
    </xf>
    <xf numFmtId="1" fontId="80" fillId="3" borderId="12" xfId="1" applyNumberFormat="1" applyFont="1" applyFill="1" applyBorder="1" applyAlignment="1" applyProtection="1">
      <alignment horizontal="center" vertical="center" wrapText="1"/>
      <protection locked="0"/>
    </xf>
    <xf numFmtId="0" fontId="83" fillId="8" borderId="0" xfId="0" applyFont="1" applyFill="1" applyAlignment="1" applyProtection="1">
      <alignment vertical="center" wrapText="1"/>
      <protection hidden="1"/>
    </xf>
    <xf numFmtId="0" fontId="84" fillId="0" borderId="4" xfId="2" applyFont="1" applyFill="1" applyAlignment="1" applyProtection="1">
      <alignment vertical="center" wrapText="1"/>
      <protection hidden="1"/>
    </xf>
    <xf numFmtId="1" fontId="76" fillId="3" borderId="3" xfId="1" applyNumberFormat="1" applyFont="1" applyFill="1" applyBorder="1" applyAlignment="1" applyProtection="1">
      <alignment horizontal="left" vertical="center" wrapText="1"/>
      <protection hidden="1"/>
    </xf>
    <xf numFmtId="0" fontId="85" fillId="0" borderId="40" xfId="0" applyFont="1" applyBorder="1" applyAlignment="1" applyProtection="1">
      <alignment vertical="center" wrapText="1"/>
      <protection hidden="1"/>
    </xf>
    <xf numFmtId="1" fontId="77" fillId="8" borderId="0" xfId="0" applyNumberFormat="1" applyFont="1" applyFill="1" applyAlignment="1" applyProtection="1">
      <alignment horizontal="center" vertical="center" wrapText="1"/>
      <protection hidden="1"/>
    </xf>
    <xf numFmtId="0" fontId="8" fillId="0" borderId="0" xfId="0" applyFont="1" applyAlignment="1" applyProtection="1">
      <alignment horizontal="center" vertical="center"/>
      <protection hidden="1"/>
    </xf>
    <xf numFmtId="0" fontId="0" fillId="4" borderId="43" xfId="2" applyNumberFormat="1" applyFont="1" applyBorder="1" applyAlignment="1">
      <alignment vertical="top" wrapText="1"/>
    </xf>
    <xf numFmtId="0" fontId="0" fillId="4" borderId="59" xfId="2" applyNumberFormat="1" applyFont="1" applyBorder="1" applyAlignment="1">
      <alignment vertical="top" wrapText="1"/>
    </xf>
    <xf numFmtId="0" fontId="14" fillId="3" borderId="0" xfId="221" applyNumberFormat="1" applyFont="1" applyFill="1" applyAlignment="1" applyProtection="1">
      <alignment horizontal="center" vertical="center"/>
      <protection hidden="1"/>
    </xf>
    <xf numFmtId="164" fontId="14" fillId="3" borderId="0" xfId="221" applyNumberFormat="1" applyFont="1" applyFill="1" applyAlignment="1" applyProtection="1">
      <alignment horizontal="center" vertical="center"/>
      <protection hidden="1"/>
    </xf>
    <xf numFmtId="0" fontId="20" fillId="3" borderId="0" xfId="0" applyFont="1" applyFill="1" applyAlignment="1" applyProtection="1">
      <alignment horizontal="center" vertical="center"/>
      <protection hidden="1"/>
    </xf>
    <xf numFmtId="164" fontId="14" fillId="3" borderId="0" xfId="0" applyNumberFormat="1" applyFont="1" applyFill="1" applyAlignment="1" applyProtection="1">
      <alignment horizontal="center" vertical="center"/>
      <protection hidden="1"/>
    </xf>
    <xf numFmtId="0" fontId="86" fillId="0" borderId="0" xfId="0" applyFont="1" applyAlignment="1" applyProtection="1">
      <alignment horizontal="left" vertical="center"/>
      <protection hidden="1"/>
    </xf>
    <xf numFmtId="0" fontId="49" fillId="4" borderId="42" xfId="2" applyFont="1" applyBorder="1" applyAlignment="1" applyProtection="1">
      <alignment horizontal="left" vertical="center" wrapText="1"/>
      <protection hidden="1"/>
    </xf>
    <xf numFmtId="0" fontId="14" fillId="3" borderId="42" xfId="221" applyNumberFormat="1" applyFont="1" applyFill="1" applyBorder="1" applyAlignment="1" applyProtection="1">
      <alignment horizontal="center" vertical="center"/>
      <protection locked="0" hidden="1"/>
    </xf>
    <xf numFmtId="0" fontId="47" fillId="0" borderId="0" xfId="0" applyFont="1" applyAlignment="1" applyProtection="1">
      <alignment horizontal="left" wrapText="1"/>
      <protection hidden="1"/>
    </xf>
    <xf numFmtId="0" fontId="48" fillId="0" borderId="0" xfId="0" applyFont="1" applyAlignment="1" applyProtection="1">
      <alignment horizontal="left" wrapText="1"/>
      <protection hidden="1"/>
    </xf>
    <xf numFmtId="0" fontId="73" fillId="31" borderId="50" xfId="0" applyFont="1" applyFill="1" applyBorder="1" applyAlignment="1" applyProtection="1">
      <alignment horizontal="center" vertical="center"/>
      <protection locked="0"/>
    </xf>
    <xf numFmtId="0" fontId="73" fillId="31" borderId="51" xfId="0" applyFont="1" applyFill="1" applyBorder="1" applyAlignment="1" applyProtection="1">
      <alignment horizontal="center" vertical="center"/>
      <protection locked="0"/>
    </xf>
    <xf numFmtId="0" fontId="73" fillId="31" borderId="52" xfId="0" applyFont="1" applyFill="1" applyBorder="1" applyAlignment="1" applyProtection="1">
      <alignment horizontal="center" vertical="center"/>
      <protection locked="0"/>
    </xf>
    <xf numFmtId="0" fontId="49" fillId="4" borderId="42" xfId="2" applyFont="1" applyBorder="1" applyAlignment="1" applyProtection="1">
      <alignment horizontal="left" vertical="center" wrapText="1"/>
      <protection hidden="1"/>
    </xf>
    <xf numFmtId="1" fontId="50" fillId="0" borderId="42" xfId="2" applyNumberFormat="1" applyFont="1" applyFill="1" applyBorder="1" applyAlignment="1" applyProtection="1">
      <alignment horizontal="left" vertical="center" wrapText="1"/>
      <protection locked="0" hidden="1"/>
    </xf>
    <xf numFmtId="0" fontId="4" fillId="7" borderId="0" xfId="0" applyFont="1" applyFill="1" applyAlignment="1" applyProtection="1">
      <alignment horizontal="center" vertical="center" wrapText="1"/>
      <protection hidden="1"/>
    </xf>
    <xf numFmtId="0" fontId="74" fillId="0" borderId="42" xfId="0" applyFont="1" applyBorder="1" applyAlignment="1" applyProtection="1">
      <alignment horizontal="center" vertical="center" wrapText="1"/>
      <protection locked="0"/>
    </xf>
    <xf numFmtId="0" fontId="74" fillId="0" borderId="42" xfId="0" applyFont="1" applyBorder="1" applyAlignment="1" applyProtection="1">
      <alignment horizontal="center" vertical="center"/>
      <protection locked="0"/>
    </xf>
    <xf numFmtId="0" fontId="74" fillId="0" borderId="53" xfId="0" applyFont="1" applyBorder="1" applyAlignment="1" applyProtection="1">
      <alignment horizontal="center" vertical="center"/>
      <protection locked="0"/>
    </xf>
    <xf numFmtId="0" fontId="16" fillId="4" borderId="42" xfId="2" applyNumberFormat="1" applyFont="1" applyBorder="1" applyAlignment="1">
      <alignment vertical="top" wrapText="1"/>
    </xf>
    <xf numFmtId="0" fontId="16" fillId="4" borderId="53" xfId="2" applyNumberFormat="1" applyFont="1" applyBorder="1" applyAlignment="1">
      <alignment vertical="top" wrapText="1"/>
    </xf>
    <xf numFmtId="0" fontId="14" fillId="24" borderId="42" xfId="221" applyNumberFormat="1" applyFont="1" applyFill="1" applyBorder="1" applyAlignment="1" applyProtection="1">
      <alignment horizontal="center" vertical="center"/>
      <protection hidden="1"/>
    </xf>
    <xf numFmtId="0" fontId="0" fillId="4" borderId="42" xfId="2" applyNumberFormat="1" applyFont="1" applyBorder="1" applyAlignment="1">
      <alignment vertical="top" wrapText="1"/>
    </xf>
    <xf numFmtId="0" fontId="0" fillId="4" borderId="53" xfId="2" applyNumberFormat="1" applyFont="1" applyBorder="1" applyAlignment="1">
      <alignment vertical="top" wrapText="1"/>
    </xf>
    <xf numFmtId="0" fontId="0" fillId="4" borderId="54" xfId="2" applyNumberFormat="1" applyFont="1" applyBorder="1" applyAlignment="1">
      <alignment vertical="top" wrapText="1"/>
    </xf>
    <xf numFmtId="0" fontId="0" fillId="4" borderId="55" xfId="2" applyNumberFormat="1" applyFont="1" applyBorder="1" applyAlignment="1">
      <alignment vertical="top" wrapText="1"/>
    </xf>
    <xf numFmtId="0" fontId="16" fillId="4" borderId="38" xfId="2" applyFont="1" applyBorder="1" applyAlignment="1" applyProtection="1">
      <alignment horizontal="left" vertical="center" wrapText="1"/>
      <protection hidden="1"/>
    </xf>
    <xf numFmtId="0" fontId="16" fillId="4" borderId="40" xfId="2" applyFont="1" applyBorder="1" applyAlignment="1" applyProtection="1">
      <alignment horizontal="left" vertical="center" wrapText="1"/>
      <protection hidden="1"/>
    </xf>
    <xf numFmtId="0" fontId="16" fillId="4" borderId="36" xfId="2" applyFont="1" applyBorder="1" applyAlignment="1" applyProtection="1">
      <alignment horizontal="left" vertical="center" wrapText="1"/>
      <protection hidden="1"/>
    </xf>
    <xf numFmtId="0" fontId="0" fillId="6" borderId="6" xfId="2" applyFont="1" applyFill="1" applyBorder="1" applyAlignment="1" applyProtection="1">
      <alignment horizontal="left" vertical="center" wrapText="1"/>
      <protection hidden="1"/>
    </xf>
    <xf numFmtId="0" fontId="0" fillId="6" borderId="0" xfId="2" applyFont="1" applyFill="1" applyBorder="1" applyAlignment="1" applyProtection="1">
      <alignment horizontal="left" vertical="center" wrapText="1"/>
      <protection hidden="1"/>
    </xf>
    <xf numFmtId="0" fontId="0" fillId="6" borderId="7" xfId="2" applyFont="1" applyFill="1" applyBorder="1" applyAlignment="1" applyProtection="1">
      <alignment horizontal="left" vertical="center" wrapText="1"/>
      <protection hidden="1"/>
    </xf>
    <xf numFmtId="0" fontId="0" fillId="4" borderId="6" xfId="2" applyFont="1" applyBorder="1" applyAlignment="1" applyProtection="1">
      <alignment horizontal="left" vertical="center" wrapText="1"/>
      <protection hidden="1"/>
    </xf>
    <xf numFmtId="0" fontId="0" fillId="4" borderId="0" xfId="2" applyFont="1" applyBorder="1" applyAlignment="1" applyProtection="1">
      <alignment horizontal="left" vertical="center" wrapText="1"/>
      <protection hidden="1"/>
    </xf>
    <xf numFmtId="0" fontId="0" fillId="4" borderId="7" xfId="2" applyFont="1" applyBorder="1" applyAlignment="1" applyProtection="1">
      <alignment horizontal="left" vertical="center" wrapText="1"/>
      <protection hidden="1"/>
    </xf>
    <xf numFmtId="0" fontId="16" fillId="24" borderId="37" xfId="2" applyFont="1" applyFill="1" applyBorder="1" applyAlignment="1" applyProtection="1">
      <alignment horizontal="left" vertical="center" wrapText="1"/>
      <protection hidden="1"/>
    </xf>
    <xf numFmtId="0" fontId="0" fillId="4" borderId="4" xfId="2" applyFont="1" applyAlignment="1" applyProtection="1">
      <alignment horizontal="left" vertical="center" wrapText="1"/>
      <protection hidden="1"/>
    </xf>
    <xf numFmtId="0" fontId="16" fillId="4" borderId="16" xfId="2" applyFont="1" applyBorder="1" applyAlignment="1" applyProtection="1">
      <alignment horizontal="left" vertical="center" wrapText="1"/>
      <protection hidden="1"/>
    </xf>
    <xf numFmtId="0" fontId="16" fillId="4" borderId="15" xfId="2" applyFont="1" applyBorder="1" applyAlignment="1" applyProtection="1">
      <alignment horizontal="left" vertical="center" wrapText="1"/>
      <protection hidden="1"/>
    </xf>
    <xf numFmtId="0" fontId="9" fillId="0" borderId="16" xfId="2" applyFill="1" applyBorder="1" applyAlignment="1" applyProtection="1">
      <alignment horizontal="left" vertical="center" wrapText="1"/>
      <protection locked="0" hidden="1"/>
    </xf>
    <xf numFmtId="0" fontId="9" fillId="0" borderId="15" xfId="2" applyFill="1" applyBorder="1" applyAlignment="1" applyProtection="1">
      <alignment horizontal="left" vertical="center" wrapText="1"/>
      <protection locked="0" hidden="1"/>
    </xf>
    <xf numFmtId="0" fontId="5" fillId="2" borderId="0" xfId="0" applyFont="1" applyFill="1" applyAlignment="1" applyProtection="1">
      <alignment horizontal="left" vertical="center" wrapText="1"/>
      <protection hidden="1"/>
    </xf>
    <xf numFmtId="0" fontId="16" fillId="24" borderId="38" xfId="2" applyFont="1" applyFill="1" applyBorder="1" applyAlignment="1" applyProtection="1">
      <alignment horizontal="left" vertical="center" wrapText="1"/>
      <protection hidden="1"/>
    </xf>
    <xf numFmtId="0" fontId="0" fillId="3" borderId="17" xfId="0" applyFill="1" applyBorder="1" applyAlignment="1" applyProtection="1">
      <alignment horizontal="left" vertical="center" wrapText="1"/>
      <protection locked="0" hidden="1"/>
    </xf>
    <xf numFmtId="0" fontId="0" fillId="3" borderId="41" xfId="0" applyFill="1" applyBorder="1" applyAlignment="1" applyProtection="1">
      <alignment horizontal="left" vertical="center" wrapText="1"/>
      <protection locked="0" hidden="1"/>
    </xf>
    <xf numFmtId="0" fontId="5" fillId="2" borderId="7" xfId="0" applyFont="1" applyFill="1" applyBorder="1" applyAlignment="1" applyProtection="1">
      <alignment horizontal="left" vertical="center" wrapText="1"/>
      <protection hidden="1"/>
    </xf>
    <xf numFmtId="0" fontId="16" fillId="24" borderId="18" xfId="2" applyFont="1" applyFill="1" applyBorder="1" applyAlignment="1" applyProtection="1">
      <alignment horizontal="left" vertical="center" wrapText="1"/>
      <protection hidden="1"/>
    </xf>
    <xf numFmtId="0" fontId="16" fillId="24" borderId="15" xfId="2" applyFont="1" applyFill="1" applyBorder="1" applyAlignment="1" applyProtection="1">
      <alignment horizontal="left" vertical="center" wrapText="1"/>
      <protection hidden="1"/>
    </xf>
    <xf numFmtId="0" fontId="4" fillId="2" borderId="0" xfId="0" applyFont="1" applyFill="1" applyAlignment="1" applyProtection="1">
      <alignment horizontal="left" vertical="center" wrapText="1"/>
      <protection hidden="1"/>
    </xf>
    <xf numFmtId="0" fontId="16" fillId="24" borderId="6" xfId="2" applyFont="1" applyFill="1" applyBorder="1" applyAlignment="1" applyProtection="1">
      <alignment horizontal="center" vertical="center" wrapText="1"/>
      <protection hidden="1"/>
    </xf>
    <xf numFmtId="0" fontId="16" fillId="24" borderId="0" xfId="2" applyFont="1" applyFill="1" applyBorder="1" applyAlignment="1" applyProtection="1">
      <alignment horizontal="center" vertical="center" wrapText="1"/>
      <protection hidden="1"/>
    </xf>
    <xf numFmtId="0" fontId="0" fillId="3" borderId="16" xfId="0" applyFill="1" applyBorder="1" applyAlignment="1" applyProtection="1">
      <alignment horizontal="center" vertical="center" wrapText="1"/>
      <protection locked="0" hidden="1"/>
    </xf>
    <xf numFmtId="0" fontId="0" fillId="3" borderId="18" xfId="0" applyFill="1" applyBorder="1" applyAlignment="1" applyProtection="1">
      <alignment horizontal="center" vertical="center" wrapText="1"/>
      <protection locked="0" hidden="1"/>
    </xf>
    <xf numFmtId="0" fontId="16" fillId="24" borderId="36" xfId="2" applyFont="1" applyFill="1" applyBorder="1" applyAlignment="1" applyProtection="1">
      <alignment horizontal="left" vertical="center" wrapText="1"/>
      <protection hidden="1"/>
    </xf>
    <xf numFmtId="0" fontId="0" fillId="3" borderId="15" xfId="0" applyFill="1" applyBorder="1" applyAlignment="1" applyProtection="1">
      <alignment horizontal="center" vertical="center" wrapText="1"/>
      <protection locked="0" hidden="1"/>
    </xf>
    <xf numFmtId="0" fontId="16" fillId="4" borderId="38" xfId="2" applyFont="1" applyBorder="1" applyAlignment="1" applyProtection="1">
      <alignment horizontal="center" vertical="center" wrapText="1"/>
      <protection hidden="1"/>
    </xf>
    <xf numFmtId="0" fontId="16" fillId="4" borderId="40" xfId="2" applyFont="1" applyBorder="1" applyAlignment="1" applyProtection="1">
      <alignment horizontal="center" vertical="center" wrapText="1"/>
      <protection hidden="1"/>
    </xf>
    <xf numFmtId="0" fontId="16" fillId="4" borderId="36" xfId="2" applyFont="1" applyBorder="1" applyAlignment="1" applyProtection="1">
      <alignment horizontal="center" vertical="center" wrapText="1"/>
      <protection hidden="1"/>
    </xf>
    <xf numFmtId="0" fontId="9" fillId="4" borderId="0" xfId="2" applyBorder="1" applyAlignment="1" applyProtection="1">
      <alignment horizontal="left" vertical="center" wrapText="1"/>
      <protection hidden="1"/>
    </xf>
    <xf numFmtId="0" fontId="9" fillId="4" borderId="7" xfId="2" applyBorder="1" applyAlignment="1" applyProtection="1">
      <alignment horizontal="left" vertical="center" wrapText="1"/>
      <protection hidden="1"/>
    </xf>
    <xf numFmtId="0" fontId="9" fillId="4" borderId="1" xfId="2" applyBorder="1" applyAlignment="1" applyProtection="1">
      <alignment horizontal="center" vertical="center" wrapText="1"/>
      <protection hidden="1"/>
    </xf>
    <xf numFmtId="0" fontId="16" fillId="4" borderId="37" xfId="2" applyFont="1" applyBorder="1" applyAlignment="1" applyProtection="1">
      <alignment horizontal="left" vertical="center" wrapText="1"/>
      <protection hidden="1"/>
    </xf>
    <xf numFmtId="0" fontId="9" fillId="3" borderId="0" xfId="222" applyFill="1" applyAlignment="1">
      <alignment horizontal="center"/>
    </xf>
    <xf numFmtId="0" fontId="0" fillId="3" borderId="0" xfId="0" applyFill="1" applyAlignment="1" applyProtection="1">
      <alignment horizontal="center"/>
      <protection hidden="1"/>
    </xf>
    <xf numFmtId="0" fontId="58" fillId="0" borderId="0" xfId="0" applyFont="1" applyAlignment="1" applyProtection="1">
      <alignment horizontal="left" wrapText="1"/>
      <protection hidden="1"/>
    </xf>
    <xf numFmtId="0" fontId="57" fillId="28" borderId="49" xfId="230" applyFont="1" applyFill="1" applyBorder="1" applyAlignment="1">
      <alignment horizontal="center" vertical="center" wrapText="1"/>
    </xf>
    <xf numFmtId="0" fontId="57" fillId="28" borderId="0" xfId="230" applyFont="1" applyFill="1" applyAlignment="1">
      <alignment horizontal="center" vertical="center" wrapText="1"/>
    </xf>
    <xf numFmtId="0" fontId="11" fillId="0" borderId="42" xfId="230" applyBorder="1" applyAlignment="1">
      <alignment horizontal="center" vertical="center" wrapText="1"/>
    </xf>
    <xf numFmtId="0" fontId="24" fillId="3" borderId="0" xfId="6" applyNumberFormat="1" applyFont="1" applyFill="1" applyAlignment="1" applyProtection="1">
      <alignment horizontal="left" vertical="top" wrapText="1"/>
      <protection hidden="1"/>
    </xf>
    <xf numFmtId="0" fontId="11" fillId="3" borderId="0" xfId="6" applyNumberFormat="1" applyFill="1" applyAlignment="1" applyProtection="1">
      <alignment horizontal="left" vertical="top" wrapText="1"/>
      <protection hidden="1"/>
    </xf>
    <xf numFmtId="0" fontId="63" fillId="7" borderId="0" xfId="6" applyNumberFormat="1" applyFont="1" applyFill="1" applyAlignment="1" applyProtection="1">
      <alignment horizontal="justify" vertical="center"/>
      <protection hidden="1"/>
    </xf>
    <xf numFmtId="0" fontId="0" fillId="0" borderId="0" xfId="0" applyAlignment="1">
      <alignment horizontal="justify" vertical="center"/>
    </xf>
    <xf numFmtId="0" fontId="72" fillId="3" borderId="0" xfId="6" applyNumberFormat="1" applyFont="1" applyFill="1" applyAlignment="1" applyProtection="1">
      <alignment horizontal="left" vertical="top" wrapText="1"/>
      <protection hidden="1"/>
    </xf>
    <xf numFmtId="0" fontId="62" fillId="7" borderId="0" xfId="6" applyNumberFormat="1" applyFont="1" applyFill="1" applyAlignment="1" applyProtection="1">
      <alignment horizontal="center" vertical="center" wrapText="1"/>
      <protection hidden="1"/>
    </xf>
    <xf numFmtId="0" fontId="16" fillId="4" borderId="38" xfId="2" applyFont="1" applyBorder="1" applyAlignment="1" applyProtection="1">
      <alignment horizontal="left" vertical="top" wrapText="1"/>
      <protection hidden="1"/>
    </xf>
    <xf numFmtId="0" fontId="16" fillId="4" borderId="40" xfId="2" applyFont="1" applyBorder="1" applyAlignment="1" applyProtection="1">
      <alignment horizontal="left" vertical="top" wrapText="1"/>
      <protection hidden="1"/>
    </xf>
    <xf numFmtId="0" fontId="16" fillId="4" borderId="36" xfId="2" applyFont="1" applyBorder="1" applyAlignment="1" applyProtection="1">
      <alignment horizontal="left" vertical="top" wrapText="1"/>
      <protection hidden="1"/>
    </xf>
    <xf numFmtId="1" fontId="45" fillId="3" borderId="13" xfId="1" applyNumberFormat="1" applyFont="1" applyFill="1" applyBorder="1" applyAlignment="1" applyProtection="1">
      <alignment horizontal="left" vertical="center" wrapText="1"/>
      <protection locked="0" hidden="1"/>
    </xf>
    <xf numFmtId="1" fontId="45" fillId="3" borderId="8" xfId="1" applyNumberFormat="1" applyFont="1" applyFill="1" applyBorder="1" applyAlignment="1" applyProtection="1">
      <alignment horizontal="left" vertical="center" wrapText="1"/>
      <protection locked="0" hidden="1"/>
    </xf>
    <xf numFmtId="0" fontId="79" fillId="4" borderId="38" xfId="2" applyFont="1" applyBorder="1" applyAlignment="1" applyProtection="1">
      <alignment horizontal="left" vertical="center" wrapText="1"/>
      <protection hidden="1"/>
    </xf>
    <xf numFmtId="0" fontId="79" fillId="4" borderId="40" xfId="2" applyFont="1" applyBorder="1" applyAlignment="1" applyProtection="1">
      <alignment horizontal="left" vertical="center" wrapText="1"/>
      <protection hidden="1"/>
    </xf>
    <xf numFmtId="0" fontId="79" fillId="4" borderId="36" xfId="2" applyFont="1" applyBorder="1" applyAlignment="1" applyProtection="1">
      <alignment horizontal="left" vertical="center" wrapText="1"/>
      <protection hidden="1"/>
    </xf>
    <xf numFmtId="1" fontId="80" fillId="3" borderId="13" xfId="1" applyNumberFormat="1" applyFont="1" applyFill="1" applyBorder="1" applyAlignment="1" applyProtection="1">
      <alignment horizontal="left" vertical="center" wrapText="1"/>
      <protection locked="0"/>
    </xf>
    <xf numFmtId="1" fontId="80" fillId="3" borderId="8" xfId="1" applyNumberFormat="1" applyFont="1" applyFill="1" applyBorder="1" applyAlignment="1" applyProtection="1">
      <alignment horizontal="left" vertical="center" wrapText="1"/>
      <protection locked="0"/>
    </xf>
    <xf numFmtId="0" fontId="79" fillId="4" borderId="37" xfId="2" applyFont="1" applyBorder="1" applyAlignment="1" applyProtection="1">
      <alignment horizontal="left" vertical="center" wrapText="1"/>
      <protection hidden="1"/>
    </xf>
    <xf numFmtId="0" fontId="79" fillId="4" borderId="4" xfId="2" applyFont="1" applyAlignment="1" applyProtection="1">
      <alignment horizontal="left" vertical="center" wrapText="1"/>
      <protection hidden="1"/>
    </xf>
    <xf numFmtId="0" fontId="18" fillId="0" borderId="20" xfId="0" applyFont="1" applyBorder="1" applyAlignment="1" applyProtection="1">
      <alignment horizontal="center" vertical="center" wrapText="1"/>
      <protection hidden="1"/>
    </xf>
    <xf numFmtId="0" fontId="0" fillId="24" borderId="18" xfId="2" applyFont="1" applyFill="1" applyBorder="1" applyAlignment="1" applyProtection="1">
      <alignment horizontal="left" vertical="center" wrapText="1"/>
      <protection hidden="1"/>
    </xf>
    <xf numFmtId="0" fontId="0" fillId="4" borderId="6" xfId="2" applyFont="1" applyBorder="1" applyAlignment="1" applyProtection="1">
      <alignment horizontal="center" vertical="center" wrapText="1"/>
      <protection hidden="1"/>
    </xf>
    <xf numFmtId="0" fontId="0" fillId="4" borderId="7" xfId="2" applyFont="1" applyBorder="1" applyAlignment="1" applyProtection="1">
      <alignment horizontal="center" vertical="center" wrapText="1"/>
      <protection hidden="1"/>
    </xf>
    <xf numFmtId="1" fontId="50" fillId="4" borderId="25" xfId="2" applyNumberFormat="1" applyFont="1" applyBorder="1" applyAlignment="1" applyProtection="1">
      <alignment horizontal="left" vertical="center" wrapText="1"/>
      <protection hidden="1"/>
    </xf>
    <xf numFmtId="0" fontId="50" fillId="4" borderId="22" xfId="2" applyFont="1" applyBorder="1" applyAlignment="1" applyProtection="1">
      <alignment horizontal="left" vertical="center" wrapText="1"/>
      <protection hidden="1"/>
    </xf>
    <xf numFmtId="0" fontId="15" fillId="4" borderId="26" xfId="2" applyFont="1" applyBorder="1" applyAlignment="1" applyProtection="1">
      <alignment horizontal="left" vertical="center" wrapText="1"/>
      <protection hidden="1"/>
    </xf>
    <xf numFmtId="0" fontId="15" fillId="4" borderId="24" xfId="2" applyFont="1" applyBorder="1" applyAlignment="1" applyProtection="1">
      <alignment horizontal="left" vertical="center" wrapText="1"/>
      <protection hidden="1"/>
    </xf>
    <xf numFmtId="0" fontId="0" fillId="6" borderId="4" xfId="2" applyFont="1" applyFill="1" applyAlignment="1" applyProtection="1">
      <alignment horizontal="left" vertical="center" wrapText="1"/>
      <protection hidden="1"/>
    </xf>
    <xf numFmtId="0" fontId="0" fillId="0" borderId="16" xfId="2" applyFont="1" applyFill="1" applyBorder="1" applyAlignment="1" applyProtection="1">
      <alignment horizontal="left" vertical="center" wrapText="1"/>
      <protection locked="0" hidden="1"/>
    </xf>
    <xf numFmtId="0" fontId="0" fillId="3" borderId="16" xfId="0" applyFill="1" applyBorder="1" applyAlignment="1" applyProtection="1">
      <alignment horizontal="left" vertical="center" wrapText="1"/>
      <protection locked="0" hidden="1"/>
    </xf>
    <xf numFmtId="0" fontId="0" fillId="3" borderId="18" xfId="0" applyFill="1" applyBorder="1" applyAlignment="1" applyProtection="1">
      <alignment horizontal="left" vertical="center" wrapText="1"/>
      <protection locked="0" hidden="1"/>
    </xf>
    <xf numFmtId="0" fontId="0" fillId="3" borderId="15" xfId="0" applyFill="1" applyBorder="1" applyAlignment="1" applyProtection="1">
      <alignment horizontal="left" vertical="center" wrapText="1"/>
      <protection locked="0" hidden="1"/>
    </xf>
    <xf numFmtId="0" fontId="16" fillId="4" borderId="18" xfId="2" applyFont="1" applyBorder="1" applyAlignment="1" applyProtection="1">
      <alignment horizontal="left" vertical="center" wrapText="1"/>
      <protection hidden="1"/>
    </xf>
    <xf numFmtId="0" fontId="9" fillId="4" borderId="6" xfId="2" applyBorder="1" applyAlignment="1" applyProtection="1">
      <alignment horizontal="left" vertical="center" wrapText="1"/>
      <protection hidden="1"/>
    </xf>
    <xf numFmtId="0" fontId="16" fillId="24" borderId="16" xfId="2" applyFont="1" applyFill="1" applyBorder="1" applyAlignment="1" applyProtection="1">
      <alignment horizontal="left" vertical="center" wrapText="1"/>
      <protection hidden="1"/>
    </xf>
    <xf numFmtId="0" fontId="25" fillId="0" borderId="20" xfId="0" applyFont="1" applyBorder="1" applyAlignment="1" applyProtection="1">
      <alignment horizontal="center" vertical="center" wrapText="1"/>
      <protection hidden="1"/>
    </xf>
    <xf numFmtId="0" fontId="69" fillId="0" borderId="0" xfId="0" applyFont="1" applyAlignment="1" applyProtection="1">
      <alignment horizontal="left" wrapText="1"/>
      <protection hidden="1"/>
    </xf>
    <xf numFmtId="0" fontId="0" fillId="0" borderId="0" xfId="0" applyAlignment="1">
      <alignment horizontal="left" wrapText="1"/>
    </xf>
    <xf numFmtId="49" fontId="60" fillId="24" borderId="38" xfId="0" applyNumberFormat="1" applyFont="1" applyFill="1" applyBorder="1" applyAlignment="1">
      <alignment horizontal="left" vertical="top" wrapText="1"/>
    </xf>
    <xf numFmtId="49" fontId="60" fillId="24" borderId="6" xfId="0" applyNumberFormat="1" applyFont="1" applyFill="1" applyBorder="1" applyAlignment="1">
      <alignment horizontal="left" vertical="top" wrapText="1"/>
    </xf>
    <xf numFmtId="49" fontId="60" fillId="24" borderId="13" xfId="0" applyNumberFormat="1" applyFont="1" applyFill="1" applyBorder="1" applyAlignment="1">
      <alignment horizontal="left" vertical="top" wrapText="1"/>
    </xf>
    <xf numFmtId="49" fontId="60" fillId="24" borderId="36" xfId="0" applyNumberFormat="1" applyFont="1" applyFill="1" applyBorder="1" applyAlignment="1">
      <alignment horizontal="left" vertical="top" wrapText="1"/>
    </xf>
    <xf numFmtId="49" fontId="60" fillId="24" borderId="7" xfId="0" applyNumberFormat="1" applyFont="1" applyFill="1" applyBorder="1" applyAlignment="1">
      <alignment horizontal="left" vertical="top" wrapText="1"/>
    </xf>
    <xf numFmtId="49" fontId="60" fillId="24" borderId="8" xfId="0" applyNumberFormat="1" applyFont="1" applyFill="1" applyBorder="1" applyAlignment="1">
      <alignment horizontal="left" vertical="top" wrapText="1"/>
    </xf>
  </cellXfs>
  <cellStyles count="235">
    <cellStyle name="20% - Accent1" xfId="2" builtinId="30" customBuiltin="1"/>
    <cellStyle name="20% - Accent1 2" xfId="10" xr:uid="{00000000-0005-0000-0000-000001000000}"/>
    <cellStyle name="20% - Accent1 2 2" xfId="11" xr:uid="{00000000-0005-0000-0000-000002000000}"/>
    <cellStyle name="20% - Accent1 2 3" xfId="12" xr:uid="{00000000-0005-0000-0000-000003000000}"/>
    <cellStyle name="20% - Accent1 2 4" xfId="13" xr:uid="{00000000-0005-0000-0000-000004000000}"/>
    <cellStyle name="20% - Accent1 2 5" xfId="14" xr:uid="{00000000-0005-0000-0000-000005000000}"/>
    <cellStyle name="20% - Accent2 2" xfId="15" xr:uid="{00000000-0005-0000-0000-000006000000}"/>
    <cellStyle name="20% - Accent2 2 2" xfId="16" xr:uid="{00000000-0005-0000-0000-000007000000}"/>
    <cellStyle name="20% - Accent2 2 3" xfId="17" xr:uid="{00000000-0005-0000-0000-000008000000}"/>
    <cellStyle name="20% - Accent2 2 4" xfId="18" xr:uid="{00000000-0005-0000-0000-000009000000}"/>
    <cellStyle name="20% - Accent2 2 5" xfId="19" xr:uid="{00000000-0005-0000-0000-00000A000000}"/>
    <cellStyle name="20% - Accent3 2" xfId="20" xr:uid="{00000000-0005-0000-0000-00000B000000}"/>
    <cellStyle name="20% - Accent3 2 2" xfId="21" xr:uid="{00000000-0005-0000-0000-00000C000000}"/>
    <cellStyle name="20% - Accent3 2 3" xfId="22" xr:uid="{00000000-0005-0000-0000-00000D000000}"/>
    <cellStyle name="20% - Accent3 2 4" xfId="23" xr:uid="{00000000-0005-0000-0000-00000E000000}"/>
    <cellStyle name="20% - Accent3 2 5" xfId="24" xr:uid="{00000000-0005-0000-0000-00000F000000}"/>
    <cellStyle name="20% - Accent4 2" xfId="25" xr:uid="{00000000-0005-0000-0000-000010000000}"/>
    <cellStyle name="20% - Accent4 2 2" xfId="26" xr:uid="{00000000-0005-0000-0000-000011000000}"/>
    <cellStyle name="20% - Accent4 2 3" xfId="27" xr:uid="{00000000-0005-0000-0000-000012000000}"/>
    <cellStyle name="20% - Accent4 2 4" xfId="28" xr:uid="{00000000-0005-0000-0000-000013000000}"/>
    <cellStyle name="20% - Accent4 2 5" xfId="29" xr:uid="{00000000-0005-0000-0000-000014000000}"/>
    <cellStyle name="20% - Accent5 2" xfId="30" xr:uid="{00000000-0005-0000-0000-000015000000}"/>
    <cellStyle name="20% - Accent5 2 2" xfId="31" xr:uid="{00000000-0005-0000-0000-000016000000}"/>
    <cellStyle name="20% - Accent5 2 3" xfId="32" xr:uid="{00000000-0005-0000-0000-000017000000}"/>
    <cellStyle name="20% - Accent5 2 4" xfId="33" xr:uid="{00000000-0005-0000-0000-000018000000}"/>
    <cellStyle name="20% - Accent5 2 5" xfId="34" xr:uid="{00000000-0005-0000-0000-000019000000}"/>
    <cellStyle name="20% - Accent6 2" xfId="35" xr:uid="{00000000-0005-0000-0000-00001A000000}"/>
    <cellStyle name="20% - Accent6 2 2" xfId="36" xr:uid="{00000000-0005-0000-0000-00001B000000}"/>
    <cellStyle name="20% - Accent6 2 3" xfId="37" xr:uid="{00000000-0005-0000-0000-00001C000000}"/>
    <cellStyle name="20% - Accent6 2 4" xfId="38" xr:uid="{00000000-0005-0000-0000-00001D000000}"/>
    <cellStyle name="20% - Accent6 2 5" xfId="39" xr:uid="{00000000-0005-0000-0000-00001E000000}"/>
    <cellStyle name="40% - Accent1 2" xfId="40" xr:uid="{00000000-0005-0000-0000-00001F000000}"/>
    <cellStyle name="40% - Accent1 2 2" xfId="41" xr:uid="{00000000-0005-0000-0000-000020000000}"/>
    <cellStyle name="40% - Accent1 2 3" xfId="42" xr:uid="{00000000-0005-0000-0000-000021000000}"/>
    <cellStyle name="40% - Accent1 2 4" xfId="43" xr:uid="{00000000-0005-0000-0000-000022000000}"/>
    <cellStyle name="40% - Accent1 2 5" xfId="44" xr:uid="{00000000-0005-0000-0000-000023000000}"/>
    <cellStyle name="40% - Accent2 2" xfId="45" xr:uid="{00000000-0005-0000-0000-000024000000}"/>
    <cellStyle name="40% - Accent2 2 2" xfId="46" xr:uid="{00000000-0005-0000-0000-000025000000}"/>
    <cellStyle name="40% - Accent2 2 3" xfId="47" xr:uid="{00000000-0005-0000-0000-000026000000}"/>
    <cellStyle name="40% - Accent2 2 4" xfId="48" xr:uid="{00000000-0005-0000-0000-000027000000}"/>
    <cellStyle name="40% - Accent2 2 5" xfId="49" xr:uid="{00000000-0005-0000-0000-000028000000}"/>
    <cellStyle name="40% - Accent3 2" xfId="50" xr:uid="{00000000-0005-0000-0000-000029000000}"/>
    <cellStyle name="40% - Accent3 2 2" xfId="51" xr:uid="{00000000-0005-0000-0000-00002A000000}"/>
    <cellStyle name="40% - Accent3 2 3" xfId="52" xr:uid="{00000000-0005-0000-0000-00002B000000}"/>
    <cellStyle name="40% - Accent3 2 4" xfId="53" xr:uid="{00000000-0005-0000-0000-00002C000000}"/>
    <cellStyle name="40% - Accent3 2 5" xfId="54" xr:uid="{00000000-0005-0000-0000-00002D000000}"/>
    <cellStyle name="40% - Accent4 2" xfId="55" xr:uid="{00000000-0005-0000-0000-00002E000000}"/>
    <cellStyle name="40% - Accent4 2 2" xfId="56" xr:uid="{00000000-0005-0000-0000-00002F000000}"/>
    <cellStyle name="40% - Accent4 2 3" xfId="57" xr:uid="{00000000-0005-0000-0000-000030000000}"/>
    <cellStyle name="40% - Accent4 2 4" xfId="58" xr:uid="{00000000-0005-0000-0000-000031000000}"/>
    <cellStyle name="40% - Accent4 2 5" xfId="59" xr:uid="{00000000-0005-0000-0000-000032000000}"/>
    <cellStyle name="40% - Accent5 2" xfId="60" xr:uid="{00000000-0005-0000-0000-000033000000}"/>
    <cellStyle name="40% - Accent5 2 2" xfId="61" xr:uid="{00000000-0005-0000-0000-000034000000}"/>
    <cellStyle name="40% - Accent5 2 3" xfId="62" xr:uid="{00000000-0005-0000-0000-000035000000}"/>
    <cellStyle name="40% - Accent5 2 4" xfId="63" xr:uid="{00000000-0005-0000-0000-000036000000}"/>
    <cellStyle name="40% - Accent5 2 5" xfId="64" xr:uid="{00000000-0005-0000-0000-000037000000}"/>
    <cellStyle name="40% - Accent6 2" xfId="65" xr:uid="{00000000-0005-0000-0000-000038000000}"/>
    <cellStyle name="40% - Accent6 2 2" xfId="66" xr:uid="{00000000-0005-0000-0000-000039000000}"/>
    <cellStyle name="40% - Accent6 2 3" xfId="67" xr:uid="{00000000-0005-0000-0000-00003A000000}"/>
    <cellStyle name="40% - Accent6 2 4" xfId="68" xr:uid="{00000000-0005-0000-0000-00003B000000}"/>
    <cellStyle name="40% - Accent6 2 5" xfId="69" xr:uid="{00000000-0005-0000-0000-00003C000000}"/>
    <cellStyle name="60% - Accent1 2" xfId="70" xr:uid="{00000000-0005-0000-0000-00003D000000}"/>
    <cellStyle name="60% - Accent1 2 2" xfId="71" xr:uid="{00000000-0005-0000-0000-00003E000000}"/>
    <cellStyle name="60% - Accent1 2 3" xfId="72" xr:uid="{00000000-0005-0000-0000-00003F000000}"/>
    <cellStyle name="60% - Accent1 2 4" xfId="73" xr:uid="{00000000-0005-0000-0000-000040000000}"/>
    <cellStyle name="60% - Accent1 2 5" xfId="74" xr:uid="{00000000-0005-0000-0000-000041000000}"/>
    <cellStyle name="60% - Accent2" xfId="3" builtinId="36"/>
    <cellStyle name="60% - Accent2 2" xfId="75" xr:uid="{00000000-0005-0000-0000-000043000000}"/>
    <cellStyle name="60% - Accent2 2 2" xfId="76" xr:uid="{00000000-0005-0000-0000-000044000000}"/>
    <cellStyle name="60% - Accent2 2 3" xfId="77" xr:uid="{00000000-0005-0000-0000-000045000000}"/>
    <cellStyle name="60% - Accent2 2 4" xfId="78" xr:uid="{00000000-0005-0000-0000-000046000000}"/>
    <cellStyle name="60% - Accent2 2 5" xfId="79" xr:uid="{00000000-0005-0000-0000-000047000000}"/>
    <cellStyle name="60% - Accent3 2" xfId="80" xr:uid="{00000000-0005-0000-0000-000048000000}"/>
    <cellStyle name="60% - Accent3 2 2" xfId="81" xr:uid="{00000000-0005-0000-0000-000049000000}"/>
    <cellStyle name="60% - Accent3 2 3" xfId="82" xr:uid="{00000000-0005-0000-0000-00004A000000}"/>
    <cellStyle name="60% - Accent3 2 4" xfId="83" xr:uid="{00000000-0005-0000-0000-00004B000000}"/>
    <cellStyle name="60% - Accent3 2 5" xfId="84" xr:uid="{00000000-0005-0000-0000-00004C000000}"/>
    <cellStyle name="60% - Accent4 2" xfId="85" xr:uid="{00000000-0005-0000-0000-00004D000000}"/>
    <cellStyle name="60% - Accent4 2 2" xfId="86" xr:uid="{00000000-0005-0000-0000-00004E000000}"/>
    <cellStyle name="60% - Accent4 2 3" xfId="87" xr:uid="{00000000-0005-0000-0000-00004F000000}"/>
    <cellStyle name="60% - Accent4 2 4" xfId="88" xr:uid="{00000000-0005-0000-0000-000050000000}"/>
    <cellStyle name="60% - Accent4 2 5" xfId="89" xr:uid="{00000000-0005-0000-0000-000051000000}"/>
    <cellStyle name="60% - Accent5 2" xfId="90" xr:uid="{00000000-0005-0000-0000-000052000000}"/>
    <cellStyle name="60% - Accent5 2 2" xfId="91" xr:uid="{00000000-0005-0000-0000-000053000000}"/>
    <cellStyle name="60% - Accent5 2 3" xfId="92" xr:uid="{00000000-0005-0000-0000-000054000000}"/>
    <cellStyle name="60% - Accent5 2 4" xfId="93" xr:uid="{00000000-0005-0000-0000-000055000000}"/>
    <cellStyle name="60% - Accent5 2 5" xfId="94" xr:uid="{00000000-0005-0000-0000-000056000000}"/>
    <cellStyle name="60% - Accent6 2" xfId="95" xr:uid="{00000000-0005-0000-0000-000057000000}"/>
    <cellStyle name="60% - Accent6 2 2" xfId="96" xr:uid="{00000000-0005-0000-0000-000058000000}"/>
    <cellStyle name="60% - Accent6 2 3" xfId="97" xr:uid="{00000000-0005-0000-0000-000059000000}"/>
    <cellStyle name="60% - Accent6 2 4" xfId="98" xr:uid="{00000000-0005-0000-0000-00005A000000}"/>
    <cellStyle name="60% - Accent6 2 5" xfId="99" xr:uid="{00000000-0005-0000-0000-00005B000000}"/>
    <cellStyle name="Accent1 2" xfId="100" xr:uid="{00000000-0005-0000-0000-00005C000000}"/>
    <cellStyle name="Accent1 2 2" xfId="101" xr:uid="{00000000-0005-0000-0000-00005D000000}"/>
    <cellStyle name="Accent1 2 3" xfId="102" xr:uid="{00000000-0005-0000-0000-00005E000000}"/>
    <cellStyle name="Accent1 2 4" xfId="103" xr:uid="{00000000-0005-0000-0000-00005F000000}"/>
    <cellStyle name="Accent1 2 5" xfId="104" xr:uid="{00000000-0005-0000-0000-000060000000}"/>
    <cellStyle name="Accent2 2" xfId="105" xr:uid="{00000000-0005-0000-0000-000061000000}"/>
    <cellStyle name="Accent2 2 2" xfId="106" xr:uid="{00000000-0005-0000-0000-000062000000}"/>
    <cellStyle name="Accent2 2 3" xfId="107" xr:uid="{00000000-0005-0000-0000-000063000000}"/>
    <cellStyle name="Accent2 2 4" xfId="108" xr:uid="{00000000-0005-0000-0000-000064000000}"/>
    <cellStyle name="Accent2 2 5" xfId="109" xr:uid="{00000000-0005-0000-0000-000065000000}"/>
    <cellStyle name="Accent3 2" xfId="110" xr:uid="{00000000-0005-0000-0000-000066000000}"/>
    <cellStyle name="Accent3 2 2" xfId="111" xr:uid="{00000000-0005-0000-0000-000067000000}"/>
    <cellStyle name="Accent3 2 3" xfId="112" xr:uid="{00000000-0005-0000-0000-000068000000}"/>
    <cellStyle name="Accent3 2 4" xfId="113" xr:uid="{00000000-0005-0000-0000-000069000000}"/>
    <cellStyle name="Accent3 2 5" xfId="114" xr:uid="{00000000-0005-0000-0000-00006A000000}"/>
    <cellStyle name="Accent4 2" xfId="115" xr:uid="{00000000-0005-0000-0000-00006B000000}"/>
    <cellStyle name="Accent4 2 2" xfId="116" xr:uid="{00000000-0005-0000-0000-00006C000000}"/>
    <cellStyle name="Accent4 2 3" xfId="117" xr:uid="{00000000-0005-0000-0000-00006D000000}"/>
    <cellStyle name="Accent4 2 4" xfId="118" xr:uid="{00000000-0005-0000-0000-00006E000000}"/>
    <cellStyle name="Accent4 2 5" xfId="119" xr:uid="{00000000-0005-0000-0000-00006F000000}"/>
    <cellStyle name="Accent5 2" xfId="120" xr:uid="{00000000-0005-0000-0000-000070000000}"/>
    <cellStyle name="Accent5 2 2" xfId="121" xr:uid="{00000000-0005-0000-0000-000071000000}"/>
    <cellStyle name="Accent5 2 3" xfId="122" xr:uid="{00000000-0005-0000-0000-000072000000}"/>
    <cellStyle name="Accent5 2 4" xfId="123" xr:uid="{00000000-0005-0000-0000-000073000000}"/>
    <cellStyle name="Accent5 2 5" xfId="124" xr:uid="{00000000-0005-0000-0000-000074000000}"/>
    <cellStyle name="Accent6 2" xfId="125" xr:uid="{00000000-0005-0000-0000-000075000000}"/>
    <cellStyle name="Accent6 2 2" xfId="126" xr:uid="{00000000-0005-0000-0000-000076000000}"/>
    <cellStyle name="Accent6 2 3" xfId="127" xr:uid="{00000000-0005-0000-0000-000077000000}"/>
    <cellStyle name="Accent6 2 4" xfId="128" xr:uid="{00000000-0005-0000-0000-000078000000}"/>
    <cellStyle name="Accent6 2 5" xfId="129" xr:uid="{00000000-0005-0000-0000-000079000000}"/>
    <cellStyle name="Bad 2" xfId="130" xr:uid="{00000000-0005-0000-0000-00007A000000}"/>
    <cellStyle name="Bad 2 2" xfId="131" xr:uid="{00000000-0005-0000-0000-00007B000000}"/>
    <cellStyle name="Bad 2 3" xfId="132" xr:uid="{00000000-0005-0000-0000-00007C000000}"/>
    <cellStyle name="Bad 2 4" xfId="133" xr:uid="{00000000-0005-0000-0000-00007D000000}"/>
    <cellStyle name="Bad 2 5" xfId="134" xr:uid="{00000000-0005-0000-0000-00007E000000}"/>
    <cellStyle name="Black fill" xfId="4" xr:uid="{00000000-0005-0000-0000-00007F000000}"/>
    <cellStyle name="Calculation 2" xfId="135" xr:uid="{00000000-0005-0000-0000-000080000000}"/>
    <cellStyle name="Calculation 2 2" xfId="136" xr:uid="{00000000-0005-0000-0000-000081000000}"/>
    <cellStyle name="Calculation 2 3" xfId="137" xr:uid="{00000000-0005-0000-0000-000082000000}"/>
    <cellStyle name="Calculation 2 4" xfId="138" xr:uid="{00000000-0005-0000-0000-000083000000}"/>
    <cellStyle name="Calculation 2 5" xfId="139" xr:uid="{00000000-0005-0000-0000-000084000000}"/>
    <cellStyle name="cells" xfId="223" xr:uid="{00000000-0005-0000-0000-000085000000}"/>
    <cellStyle name="Check Cell 2" xfId="140" xr:uid="{00000000-0005-0000-0000-000086000000}"/>
    <cellStyle name="Check Cell 2 2" xfId="141" xr:uid="{00000000-0005-0000-0000-000087000000}"/>
    <cellStyle name="Check Cell 2 3" xfId="142" xr:uid="{00000000-0005-0000-0000-000088000000}"/>
    <cellStyle name="Check Cell 2 4" xfId="143" xr:uid="{00000000-0005-0000-0000-000089000000}"/>
    <cellStyle name="Check Cell 2 5" xfId="144" xr:uid="{00000000-0005-0000-0000-00008A000000}"/>
    <cellStyle name="column field" xfId="224" xr:uid="{00000000-0005-0000-0000-00008B000000}"/>
    <cellStyle name="Explanatory Text 2" xfId="145" xr:uid="{00000000-0005-0000-0000-00008C000000}"/>
    <cellStyle name="Explanatory Text 2 2" xfId="146" xr:uid="{00000000-0005-0000-0000-00008D000000}"/>
    <cellStyle name="Explanatory Text 2 3" xfId="147" xr:uid="{00000000-0005-0000-0000-00008E000000}"/>
    <cellStyle name="Explanatory Text 2 4" xfId="148" xr:uid="{00000000-0005-0000-0000-00008F000000}"/>
    <cellStyle name="Explanatory Text 2 5" xfId="149" xr:uid="{00000000-0005-0000-0000-000090000000}"/>
    <cellStyle name="Fade out" xfId="5" xr:uid="{00000000-0005-0000-0000-000091000000}"/>
    <cellStyle name="field" xfId="225" xr:uid="{00000000-0005-0000-0000-000092000000}"/>
    <cellStyle name="field names" xfId="226" xr:uid="{00000000-0005-0000-0000-000093000000}"/>
    <cellStyle name="footer" xfId="227" xr:uid="{00000000-0005-0000-0000-000094000000}"/>
    <cellStyle name="Good 2" xfId="150" xr:uid="{00000000-0005-0000-0000-000095000000}"/>
    <cellStyle name="Good 2 2" xfId="151" xr:uid="{00000000-0005-0000-0000-000096000000}"/>
    <cellStyle name="Good 2 3" xfId="152" xr:uid="{00000000-0005-0000-0000-000097000000}"/>
    <cellStyle name="Good 2 4" xfId="153" xr:uid="{00000000-0005-0000-0000-000098000000}"/>
    <cellStyle name="Good 2 5" xfId="154" xr:uid="{00000000-0005-0000-0000-000099000000}"/>
    <cellStyle name="heading" xfId="228" xr:uid="{00000000-0005-0000-0000-00009A000000}"/>
    <cellStyle name="Heading 1 2" xfId="155" xr:uid="{00000000-0005-0000-0000-00009B000000}"/>
    <cellStyle name="Heading 1 2 2" xfId="156" xr:uid="{00000000-0005-0000-0000-00009C000000}"/>
    <cellStyle name="Heading 1 2 3" xfId="157" xr:uid="{00000000-0005-0000-0000-00009D000000}"/>
    <cellStyle name="Heading 1 2 4" xfId="158" xr:uid="{00000000-0005-0000-0000-00009E000000}"/>
    <cellStyle name="Heading 1 2 5" xfId="159" xr:uid="{00000000-0005-0000-0000-00009F000000}"/>
    <cellStyle name="Heading 2 2" xfId="160" xr:uid="{00000000-0005-0000-0000-0000A0000000}"/>
    <cellStyle name="Heading 2 2 2" xfId="161" xr:uid="{00000000-0005-0000-0000-0000A1000000}"/>
    <cellStyle name="Heading 2 2 3" xfId="162" xr:uid="{00000000-0005-0000-0000-0000A2000000}"/>
    <cellStyle name="Heading 2 2 4" xfId="163" xr:uid="{00000000-0005-0000-0000-0000A3000000}"/>
    <cellStyle name="Heading 2 2 5" xfId="164" xr:uid="{00000000-0005-0000-0000-0000A4000000}"/>
    <cellStyle name="Heading 3 2" xfId="165" xr:uid="{00000000-0005-0000-0000-0000A5000000}"/>
    <cellStyle name="Heading 3 2 2" xfId="166" xr:uid="{00000000-0005-0000-0000-0000A6000000}"/>
    <cellStyle name="Heading 3 2 3" xfId="167" xr:uid="{00000000-0005-0000-0000-0000A7000000}"/>
    <cellStyle name="Heading 3 2 4" xfId="168" xr:uid="{00000000-0005-0000-0000-0000A8000000}"/>
    <cellStyle name="Heading 3 2 5" xfId="169" xr:uid="{00000000-0005-0000-0000-0000A9000000}"/>
    <cellStyle name="Heading 4 2" xfId="170" xr:uid="{00000000-0005-0000-0000-0000AA000000}"/>
    <cellStyle name="Heading 4 2 2" xfId="171" xr:uid="{00000000-0005-0000-0000-0000AB000000}"/>
    <cellStyle name="Heading 4 2 3" xfId="172" xr:uid="{00000000-0005-0000-0000-0000AC000000}"/>
    <cellStyle name="Heading 4 2 4" xfId="173" xr:uid="{00000000-0005-0000-0000-0000AD000000}"/>
    <cellStyle name="Heading 4 2 5" xfId="174" xr:uid="{00000000-0005-0000-0000-0000AE000000}"/>
    <cellStyle name="Input 2" xfId="175" xr:uid="{00000000-0005-0000-0000-0000AF000000}"/>
    <cellStyle name="Input 2 2" xfId="176" xr:uid="{00000000-0005-0000-0000-0000B0000000}"/>
    <cellStyle name="Input 2 3" xfId="177" xr:uid="{00000000-0005-0000-0000-0000B1000000}"/>
    <cellStyle name="Input 2 4" xfId="178" xr:uid="{00000000-0005-0000-0000-0000B2000000}"/>
    <cellStyle name="Input 2 5" xfId="179" xr:uid="{00000000-0005-0000-0000-0000B3000000}"/>
    <cellStyle name="Linked Cell 2" xfId="180" xr:uid="{00000000-0005-0000-0000-0000B4000000}"/>
    <cellStyle name="Linked Cell 2 2" xfId="181" xr:uid="{00000000-0005-0000-0000-0000B5000000}"/>
    <cellStyle name="Linked Cell 2 3" xfId="182" xr:uid="{00000000-0005-0000-0000-0000B6000000}"/>
    <cellStyle name="Linked Cell 2 4" xfId="183" xr:uid="{00000000-0005-0000-0000-0000B7000000}"/>
    <cellStyle name="Linked Cell 2 5" xfId="184" xr:uid="{00000000-0005-0000-0000-0000B8000000}"/>
    <cellStyle name="Neutral 2" xfId="185" xr:uid="{00000000-0005-0000-0000-0000B9000000}"/>
    <cellStyle name="Neutral 2 2" xfId="186" xr:uid="{00000000-0005-0000-0000-0000BA000000}"/>
    <cellStyle name="Neutral 2 3" xfId="187" xr:uid="{00000000-0005-0000-0000-0000BB000000}"/>
    <cellStyle name="Neutral 2 4" xfId="188" xr:uid="{00000000-0005-0000-0000-0000BC000000}"/>
    <cellStyle name="Neutral 2 5" xfId="189" xr:uid="{00000000-0005-0000-0000-0000BD000000}"/>
    <cellStyle name="Normal" xfId="0" builtinId="0"/>
    <cellStyle name="Normal 2" xfId="9" xr:uid="{00000000-0005-0000-0000-0000BF000000}"/>
    <cellStyle name="Normal 2 2" xfId="190" xr:uid="{00000000-0005-0000-0000-0000C0000000}"/>
    <cellStyle name="Normal 2 2 2" xfId="229" xr:uid="{00000000-0005-0000-0000-0000C1000000}"/>
    <cellStyle name="Normal 2 3" xfId="7" xr:uid="{00000000-0005-0000-0000-0000C2000000}"/>
    <cellStyle name="Normal 3" xfId="191" xr:uid="{00000000-0005-0000-0000-0000C3000000}"/>
    <cellStyle name="Normal 3 2" xfId="192" xr:uid="{00000000-0005-0000-0000-0000C4000000}"/>
    <cellStyle name="Normal 3 3" xfId="222" xr:uid="{00000000-0005-0000-0000-0000C5000000}"/>
    <cellStyle name="Normal 4" xfId="193" xr:uid="{00000000-0005-0000-0000-0000C6000000}"/>
    <cellStyle name="Normal 5" xfId="8" xr:uid="{00000000-0005-0000-0000-0000C7000000}"/>
    <cellStyle name="Normal 7" xfId="194" xr:uid="{00000000-0005-0000-0000-0000C8000000}"/>
    <cellStyle name="Normal_healthcare edit.xls" xfId="230" xr:uid="{00000000-0005-0000-0000-0000C9000000}"/>
    <cellStyle name="Normal_office as built edit.xls" xfId="6" xr:uid="{00000000-0005-0000-0000-0000CA000000}"/>
    <cellStyle name="Normal_shopping centre design edit.xls" xfId="1" xr:uid="{00000000-0005-0000-0000-0000CB000000}"/>
    <cellStyle name="Note 2" xfId="195" xr:uid="{00000000-0005-0000-0000-0000CC000000}"/>
    <cellStyle name="Note 2 2" xfId="196" xr:uid="{00000000-0005-0000-0000-0000CD000000}"/>
    <cellStyle name="Note 2 3" xfId="197" xr:uid="{00000000-0005-0000-0000-0000CE000000}"/>
    <cellStyle name="Note 2 4" xfId="198" xr:uid="{00000000-0005-0000-0000-0000CF000000}"/>
    <cellStyle name="Note 2 5" xfId="199" xr:uid="{00000000-0005-0000-0000-0000D0000000}"/>
    <cellStyle name="Output 2" xfId="200" xr:uid="{00000000-0005-0000-0000-0000D1000000}"/>
    <cellStyle name="Output 2 2" xfId="201" xr:uid="{00000000-0005-0000-0000-0000D2000000}"/>
    <cellStyle name="Output 2 3" xfId="202" xr:uid="{00000000-0005-0000-0000-0000D3000000}"/>
    <cellStyle name="Output 2 4" xfId="203" xr:uid="{00000000-0005-0000-0000-0000D4000000}"/>
    <cellStyle name="Output 2 5" xfId="204" xr:uid="{00000000-0005-0000-0000-0000D5000000}"/>
    <cellStyle name="Per cent" xfId="221" builtinId="5"/>
    <cellStyle name="Percent 2" xfId="205" xr:uid="{00000000-0005-0000-0000-0000D7000000}"/>
    <cellStyle name="Percent 3" xfId="231" xr:uid="{00000000-0005-0000-0000-0000D8000000}"/>
    <cellStyle name="Percent 4" xfId="232" xr:uid="{00000000-0005-0000-0000-0000D9000000}"/>
    <cellStyle name="rowfield" xfId="233" xr:uid="{00000000-0005-0000-0000-0000DA000000}"/>
    <cellStyle name="Test" xfId="234" xr:uid="{00000000-0005-0000-0000-0000DB000000}"/>
    <cellStyle name="Title 2" xfId="206" xr:uid="{00000000-0005-0000-0000-0000DC000000}"/>
    <cellStyle name="Title 2 2" xfId="207" xr:uid="{00000000-0005-0000-0000-0000DD000000}"/>
    <cellStyle name="Title 2 3" xfId="208" xr:uid="{00000000-0005-0000-0000-0000DE000000}"/>
    <cellStyle name="Title 2 4" xfId="209" xr:uid="{00000000-0005-0000-0000-0000DF000000}"/>
    <cellStyle name="Title 2 5" xfId="210" xr:uid="{00000000-0005-0000-0000-0000E0000000}"/>
    <cellStyle name="Total 2" xfId="211" xr:uid="{00000000-0005-0000-0000-0000E1000000}"/>
    <cellStyle name="Total 2 2" xfId="212" xr:uid="{00000000-0005-0000-0000-0000E2000000}"/>
    <cellStyle name="Total 2 3" xfId="213" xr:uid="{00000000-0005-0000-0000-0000E3000000}"/>
    <cellStyle name="Total 2 4" xfId="214" xr:uid="{00000000-0005-0000-0000-0000E4000000}"/>
    <cellStyle name="Total 2 5" xfId="215" xr:uid="{00000000-0005-0000-0000-0000E5000000}"/>
    <cellStyle name="Warning Text 2" xfId="216" xr:uid="{00000000-0005-0000-0000-0000E6000000}"/>
    <cellStyle name="Warning Text 2 2" xfId="217" xr:uid="{00000000-0005-0000-0000-0000E7000000}"/>
    <cellStyle name="Warning Text 2 3" xfId="218" xr:uid="{00000000-0005-0000-0000-0000E8000000}"/>
    <cellStyle name="Warning Text 2 4" xfId="219" xr:uid="{00000000-0005-0000-0000-0000E9000000}"/>
    <cellStyle name="Warning Text 2 5" xfId="220" xr:uid="{00000000-0005-0000-0000-0000EA000000}"/>
  </cellStyles>
  <dxfs count="242">
    <dxf>
      <fill>
        <patternFill>
          <bgColor theme="3" tint="0.79998168889431442"/>
        </patternFill>
      </fill>
    </dxf>
    <dxf>
      <font>
        <color theme="1"/>
      </font>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strike/>
      </font>
    </dxf>
    <dxf>
      <font>
        <strike/>
      </font>
    </dxf>
    <dxf>
      <font>
        <color theme="1"/>
      </font>
      <fill>
        <patternFill>
          <bgColor theme="0"/>
        </patternFill>
      </fill>
    </dxf>
    <dxf>
      <font>
        <color theme="1"/>
      </font>
      <fill>
        <patternFill>
          <bgColor theme="0"/>
        </patternFill>
      </fill>
    </dxf>
    <dxf>
      <font>
        <color theme="1"/>
      </font>
      <fill>
        <patternFill>
          <bgColor theme="0"/>
        </patternFill>
      </fill>
    </dxf>
    <dxf>
      <font>
        <color theme="8" tint="0.39994506668294322"/>
      </font>
      <fill>
        <patternFill patternType="solid">
          <bgColor theme="8" tint="0.79998168889431442"/>
        </patternFill>
      </fill>
    </dxf>
    <dxf>
      <font>
        <color theme="8" tint="0.39994506668294322"/>
      </font>
      <fill>
        <patternFill>
          <bgColor theme="8" tint="0.79998168889431442"/>
        </patternFill>
      </fill>
    </dxf>
    <dxf>
      <font>
        <color theme="8" tint="0.39994506668294322"/>
      </font>
      <fill>
        <patternFill>
          <bgColor rgb="FFEBECED"/>
        </patternFill>
      </fill>
    </dxf>
    <dxf>
      <font>
        <color theme="1"/>
      </font>
      <fill>
        <patternFill>
          <bgColor theme="0"/>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rgb="FFEBECED"/>
        </patternFill>
      </fill>
    </dxf>
    <dxf>
      <font>
        <color theme="8" tint="0.39994506668294322"/>
      </font>
      <fill>
        <patternFill>
          <bgColor rgb="FFEBECED"/>
        </patternFill>
      </fill>
    </dxf>
    <dxf>
      <font>
        <color theme="8" tint="0.39994506668294322"/>
      </font>
      <fill>
        <patternFill>
          <bgColor rgb="FFEBECED"/>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fgColor theme="8" tint="0.79989013336588644"/>
          <bgColor rgb="FFEBECED"/>
        </patternFill>
      </fill>
    </dxf>
    <dxf>
      <font>
        <color theme="8" tint="0.39994506668294322"/>
      </font>
      <fill>
        <patternFill>
          <bgColor rgb="FFEBECED"/>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strike/>
      </font>
    </dxf>
    <dxf>
      <font>
        <strike/>
      </font>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1"/>
      </font>
    </dxf>
    <dxf>
      <fill>
        <patternFill>
          <bgColor theme="3" tint="0.79998168889431442"/>
        </patternFill>
      </fill>
    </dxf>
    <dxf>
      <font>
        <color theme="1"/>
      </font>
    </dxf>
    <dxf>
      <fill>
        <patternFill>
          <bgColor theme="3" tint="0.79998168889431442"/>
        </patternFill>
      </fill>
    </dxf>
    <dxf>
      <font>
        <color theme="1"/>
      </font>
    </dxf>
    <dxf>
      <fill>
        <patternFill>
          <bgColor theme="3" tint="0.79998168889431442"/>
        </patternFill>
      </fill>
    </dxf>
    <dxf>
      <font>
        <color theme="1"/>
      </font>
    </dxf>
    <dxf>
      <fill>
        <patternFill>
          <bgColor theme="3" tint="0.79998168889431442"/>
        </patternFill>
      </fill>
    </dxf>
    <dxf>
      <font>
        <color theme="1"/>
      </font>
    </dxf>
    <dxf>
      <fill>
        <patternFill>
          <bgColor theme="3" tint="0.79998168889431442"/>
        </patternFill>
      </fill>
    </dxf>
    <dxf>
      <font>
        <color theme="1"/>
      </font>
    </dxf>
    <dxf>
      <fill>
        <patternFill>
          <bgColor theme="3" tint="0.79998168889431442"/>
        </patternFill>
      </fill>
    </dxf>
    <dxf>
      <font>
        <color theme="1"/>
      </font>
    </dxf>
    <dxf>
      <fill>
        <patternFill>
          <bgColor theme="3" tint="0.79998168889431442"/>
        </patternFill>
      </fill>
    </dxf>
    <dxf>
      <font>
        <color rgb="FF9C6500"/>
      </font>
      <fill>
        <patternFill>
          <bgColor rgb="FFFFEB9C"/>
        </patternFill>
      </fill>
    </dxf>
    <dxf>
      <fill>
        <patternFill>
          <bgColor theme="3" tint="0.79998168889431442"/>
        </patternFill>
      </fill>
    </dxf>
    <dxf>
      <font>
        <color theme="1"/>
      </font>
    </dxf>
    <dxf>
      <font>
        <color theme="1"/>
      </font>
    </dxf>
    <dxf>
      <fill>
        <patternFill>
          <bgColor theme="3" tint="0.79998168889431442"/>
        </patternFill>
      </fill>
    </dxf>
    <dxf>
      <fill>
        <patternFill>
          <bgColor theme="3" tint="0.79998168889431442"/>
        </patternFill>
      </fill>
    </dxf>
    <dxf>
      <font>
        <color theme="1"/>
      </font>
    </dxf>
    <dxf>
      <font>
        <color theme="1"/>
      </font>
    </dxf>
    <dxf>
      <fill>
        <patternFill>
          <bgColor theme="3" tint="0.79998168889431442"/>
        </patternFill>
      </fill>
    </dxf>
    <dxf>
      <font>
        <color theme="1"/>
      </font>
    </dxf>
    <dxf>
      <fill>
        <patternFill>
          <bgColor theme="3" tint="0.79998168889431442"/>
        </patternFill>
      </fill>
    </dxf>
    <dxf>
      <font>
        <color theme="1"/>
      </font>
    </dxf>
    <dxf>
      <fill>
        <patternFill>
          <bgColor theme="3" tint="0.79998168889431442"/>
        </patternFill>
      </fill>
    </dxf>
    <dxf>
      <font>
        <color theme="1"/>
      </font>
    </dxf>
    <dxf>
      <fill>
        <patternFill>
          <bgColor theme="3" tint="0.79998168889431442"/>
        </patternFill>
      </fill>
    </dxf>
    <dxf>
      <font>
        <color theme="1"/>
      </font>
    </dxf>
    <dxf>
      <fill>
        <patternFill>
          <bgColor theme="3" tint="0.79998168889431442"/>
        </patternFill>
      </fill>
    </dxf>
    <dxf>
      <font>
        <color rgb="FF9C6500"/>
      </font>
      <fill>
        <patternFill>
          <bgColor rgb="FFFFEB9C"/>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8" tint="0.39994506668294322"/>
      </font>
      <fill>
        <patternFill>
          <bgColor theme="8" tint="0.79998168889431442"/>
        </patternFill>
      </fill>
    </dxf>
    <dxf>
      <font>
        <color theme="1"/>
      </font>
      <fill>
        <patternFill>
          <bgColor theme="0"/>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0" tint="-0.24994659260841701"/>
      </font>
      <fill>
        <patternFill>
          <bgColor theme="8" tint="0.79998168889431442"/>
        </patternFill>
      </fill>
    </dxf>
    <dxf>
      <font>
        <color theme="8" tint="0.39994506668294322"/>
      </font>
      <fill>
        <patternFill>
          <bgColor theme="8" tint="0.79998168889431442"/>
        </patternFill>
      </fill>
    </dxf>
    <dxf>
      <font>
        <color theme="8" tint="0.39994506668294322"/>
      </font>
      <fill>
        <patternFill patternType="solid">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strike/>
      </font>
    </dxf>
    <dxf>
      <font>
        <color theme="8" tint="0.39994506668294322"/>
      </font>
      <fill>
        <patternFill>
          <bgColor theme="8" tint="0.79998168889431442"/>
        </patternFill>
      </fill>
    </dxf>
    <dxf>
      <font>
        <color theme="8" tint="0.39994506668294322"/>
      </font>
      <fill>
        <patternFill>
          <bgColor theme="8" tint="0.79998168889431442"/>
        </patternFill>
      </fill>
    </dxf>
    <dxf>
      <font>
        <color theme="1"/>
      </font>
      <fill>
        <patternFill>
          <bgColor theme="4" tint="0.79998168889431442"/>
        </patternFill>
      </fill>
    </dxf>
    <dxf>
      <font>
        <color theme="1"/>
      </font>
      <fill>
        <patternFill>
          <bgColor theme="4"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strike/>
      </font>
    </dxf>
    <dxf>
      <font>
        <color theme="9"/>
      </font>
      <fill>
        <patternFill>
          <bgColor theme="9"/>
        </patternFill>
      </fill>
      <border>
        <left/>
        <right/>
        <top/>
        <bottom/>
        <vertical/>
        <horizontal/>
      </border>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1"/>
      </font>
    </dxf>
    <dxf>
      <fill>
        <patternFill>
          <bgColor theme="3" tint="0.79998168889431442"/>
        </patternFill>
      </fill>
    </dxf>
    <dxf>
      <font>
        <color theme="1"/>
      </font>
    </dxf>
    <dxf>
      <fill>
        <patternFill>
          <bgColor theme="3" tint="0.79998168889431442"/>
        </patternFill>
      </fill>
    </dxf>
    <dxf>
      <font>
        <color theme="1"/>
      </font>
    </dxf>
    <dxf>
      <fill>
        <patternFill>
          <bgColor theme="3" tint="0.79998168889431442"/>
        </patternFill>
      </fill>
    </dxf>
    <dxf>
      <font>
        <color theme="1"/>
      </font>
    </dxf>
    <dxf>
      <fill>
        <patternFill>
          <bgColor theme="3" tint="0.79998168889431442"/>
        </patternFill>
      </fill>
    </dxf>
    <dxf>
      <font>
        <color theme="1"/>
      </font>
    </dxf>
    <dxf>
      <fill>
        <patternFill>
          <bgColor theme="3" tint="0.79998168889431442"/>
        </patternFill>
      </fill>
    </dxf>
    <dxf>
      <font>
        <color theme="1"/>
      </font>
    </dxf>
    <dxf>
      <fill>
        <patternFill>
          <bgColor theme="3" tint="0.79998168889431442"/>
        </patternFill>
      </fill>
    </dxf>
    <dxf>
      <font>
        <color theme="1"/>
      </font>
    </dxf>
    <dxf>
      <fill>
        <patternFill>
          <bgColor theme="3" tint="0.79998168889431442"/>
        </patternFill>
      </fill>
    </dxf>
    <dxf>
      <font>
        <color rgb="FF9C6500"/>
      </font>
      <fill>
        <patternFill>
          <bgColor rgb="FFFFEB9C"/>
        </patternFill>
      </fill>
    </dxf>
    <dxf>
      <fill>
        <patternFill>
          <bgColor theme="3" tint="0.79998168889431442"/>
        </patternFill>
      </fill>
    </dxf>
    <dxf>
      <font>
        <color theme="1"/>
      </font>
    </dxf>
    <dxf>
      <font>
        <color theme="1"/>
      </font>
    </dxf>
    <dxf>
      <fill>
        <patternFill>
          <bgColor theme="3" tint="0.79998168889431442"/>
        </patternFill>
      </fill>
    </dxf>
    <dxf>
      <fill>
        <patternFill>
          <bgColor theme="3" tint="0.79998168889431442"/>
        </patternFill>
      </fill>
    </dxf>
    <dxf>
      <font>
        <color theme="1"/>
      </font>
    </dxf>
    <dxf>
      <font>
        <color theme="1"/>
      </font>
    </dxf>
    <dxf>
      <fill>
        <patternFill>
          <bgColor theme="3" tint="0.79998168889431442"/>
        </patternFill>
      </fill>
    </dxf>
    <dxf>
      <font>
        <color theme="1"/>
      </font>
    </dxf>
    <dxf>
      <fill>
        <patternFill>
          <bgColor theme="3" tint="0.79998168889431442"/>
        </patternFill>
      </fill>
    </dxf>
    <dxf>
      <font>
        <color theme="1"/>
      </font>
    </dxf>
    <dxf>
      <fill>
        <patternFill>
          <bgColor theme="3" tint="0.79998168889431442"/>
        </patternFill>
      </fill>
    </dxf>
    <dxf>
      <font>
        <color theme="1"/>
      </font>
    </dxf>
    <dxf>
      <fill>
        <patternFill>
          <bgColor theme="3" tint="0.79998168889431442"/>
        </patternFill>
      </fill>
    </dxf>
    <dxf>
      <font>
        <color theme="1"/>
      </font>
    </dxf>
    <dxf>
      <fill>
        <patternFill>
          <bgColor theme="3" tint="0.79998168889431442"/>
        </patternFill>
      </fill>
    </dxf>
    <dxf>
      <font>
        <color rgb="FF9C6500"/>
      </font>
      <fill>
        <patternFill>
          <bgColor rgb="FFFFEB9C"/>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8" tint="0.39994506668294322"/>
      </font>
      <fill>
        <patternFill>
          <bgColor theme="8" tint="0.79998168889431442"/>
        </patternFill>
      </fill>
    </dxf>
    <dxf>
      <font>
        <color theme="1"/>
      </font>
      <fill>
        <patternFill>
          <bgColor theme="0"/>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0" tint="-0.24994659260841701"/>
      </font>
      <fill>
        <patternFill>
          <bgColor theme="8" tint="0.79998168889431442"/>
        </patternFill>
      </fill>
    </dxf>
    <dxf>
      <font>
        <color theme="8" tint="0.39994506668294322"/>
      </font>
      <fill>
        <patternFill>
          <bgColor theme="8" tint="0.79998168889431442"/>
        </patternFill>
      </fill>
    </dxf>
    <dxf>
      <font>
        <color theme="8" tint="0.39994506668294322"/>
      </font>
      <fill>
        <patternFill patternType="solid">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strike/>
      </font>
    </dxf>
    <dxf>
      <font>
        <color theme="8" tint="0.39994506668294322"/>
      </font>
      <fill>
        <patternFill>
          <bgColor theme="8" tint="0.79998168889431442"/>
        </patternFill>
      </fill>
    </dxf>
    <dxf>
      <font>
        <color theme="8" tint="0.39994506668294322"/>
      </font>
      <fill>
        <patternFill>
          <bgColor theme="8" tint="0.79998168889431442"/>
        </patternFill>
      </fill>
    </dxf>
    <dxf>
      <font>
        <color theme="1"/>
      </font>
      <fill>
        <patternFill>
          <bgColor theme="4" tint="0.79998168889431442"/>
        </patternFill>
      </fill>
    </dxf>
    <dxf>
      <font>
        <color theme="1"/>
      </font>
      <fill>
        <patternFill>
          <bgColor theme="4"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strike/>
      </font>
    </dxf>
    <dxf>
      <font>
        <color theme="9"/>
      </font>
      <fill>
        <patternFill>
          <bgColor theme="9"/>
        </patternFill>
      </fill>
      <border>
        <left/>
        <right/>
        <top/>
        <bottom/>
        <vertical/>
        <horizontal/>
      </border>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
      <font>
        <color theme="8" tint="0.39994506668294322"/>
      </font>
      <fill>
        <patternFill>
          <bgColor theme="8" tint="0.79998168889431442"/>
        </patternFill>
      </fill>
    </dxf>
  </dxfs>
  <tableStyles count="0" defaultTableStyle="TableStyleMedium9" defaultPivotStyle="PivotStyleLight16"/>
  <colors>
    <mruColors>
      <color rgb="FFEBECED"/>
      <color rgb="FF000000"/>
      <color rgb="FF1F3860"/>
      <color rgb="FF8DC43F"/>
      <color rgb="FF9C6500"/>
      <color rgb="FFFFEB9C"/>
      <color rgb="FFFFE181"/>
      <color rgb="FFD6E0F2"/>
      <color rgb="FF1F38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C$30" lockText="1" noThreeD="1"/>
</file>

<file path=xl/ctrlProps/ctrlProp10.xml><?xml version="1.0" encoding="utf-8"?>
<formControlPr xmlns="http://schemas.microsoft.com/office/spreadsheetml/2009/9/main" objectType="CheckBox" fmlaLink="$C$40" lockText="1" noThreeD="1"/>
</file>

<file path=xl/ctrlProps/ctrlProp100.xml><?xml version="1.0" encoding="utf-8"?>
<formControlPr xmlns="http://schemas.microsoft.com/office/spreadsheetml/2009/9/main" objectType="CheckBox" fmlaLink="$C$43" lockText="1" noThreeD="1"/>
</file>

<file path=xl/ctrlProps/ctrlProp101.xml><?xml version="1.0" encoding="utf-8"?>
<formControlPr xmlns="http://schemas.microsoft.com/office/spreadsheetml/2009/9/main" objectType="CheckBox" fmlaLink="$C$69" lockText="1" noThreeD="1"/>
</file>

<file path=xl/ctrlProps/ctrlProp102.xml><?xml version="1.0" encoding="utf-8"?>
<formControlPr xmlns="http://schemas.microsoft.com/office/spreadsheetml/2009/9/main" objectType="CheckBox" fmlaLink="$C$70" lockText="1" noThreeD="1"/>
</file>

<file path=xl/ctrlProps/ctrlProp103.xml><?xml version="1.0" encoding="utf-8"?>
<formControlPr xmlns="http://schemas.microsoft.com/office/spreadsheetml/2009/9/main" objectType="CheckBox" fmlaLink="$C$80" lockText="1" noThreeD="1"/>
</file>

<file path=xl/ctrlProps/ctrlProp104.xml><?xml version="1.0" encoding="utf-8"?>
<formControlPr xmlns="http://schemas.microsoft.com/office/spreadsheetml/2009/9/main" objectType="CheckBox" fmlaLink="$C$81" lockText="1" noThreeD="1"/>
</file>

<file path=xl/ctrlProps/ctrlProp105.xml><?xml version="1.0" encoding="utf-8"?>
<formControlPr xmlns="http://schemas.microsoft.com/office/spreadsheetml/2009/9/main" objectType="CheckBox" fmlaLink="$C$103" lockText="1" noThreeD="1"/>
</file>

<file path=xl/ctrlProps/ctrlProp106.xml><?xml version="1.0" encoding="utf-8"?>
<formControlPr xmlns="http://schemas.microsoft.com/office/spreadsheetml/2009/9/main" objectType="CheckBox" fmlaLink="$C$90" lockText="1" noThreeD="1"/>
</file>

<file path=xl/ctrlProps/ctrlProp107.xml><?xml version="1.0" encoding="utf-8"?>
<formControlPr xmlns="http://schemas.microsoft.com/office/spreadsheetml/2009/9/main" objectType="CheckBox" fmlaLink="$C$91" lockText="1" noThreeD="1"/>
</file>

<file path=xl/ctrlProps/ctrlProp108.xml><?xml version="1.0" encoding="utf-8"?>
<formControlPr xmlns="http://schemas.microsoft.com/office/spreadsheetml/2009/9/main" objectType="CheckBox" fmlaLink="$C$92" lockText="1" noThreeD="1"/>
</file>

<file path=xl/ctrlProps/ctrlProp11.xml><?xml version="1.0" encoding="utf-8"?>
<formControlPr xmlns="http://schemas.microsoft.com/office/spreadsheetml/2009/9/main" objectType="CheckBox" fmlaLink="$C$41" lockText="1" noThreeD="1"/>
</file>

<file path=xl/ctrlProps/ctrlProp12.xml><?xml version="1.0" encoding="utf-8"?>
<formControlPr xmlns="http://schemas.microsoft.com/office/spreadsheetml/2009/9/main" objectType="CheckBox" fmlaLink="$C$42" lockText="1" noThreeD="1"/>
</file>

<file path=xl/ctrlProps/ctrlProp13.xml><?xml version="1.0" encoding="utf-8"?>
<formControlPr xmlns="http://schemas.microsoft.com/office/spreadsheetml/2009/9/main" objectType="CheckBox" fmlaLink="$C$43" lockText="1" noThreeD="1"/>
</file>

<file path=xl/ctrlProps/ctrlProp14.xml><?xml version="1.0" encoding="utf-8"?>
<formControlPr xmlns="http://schemas.microsoft.com/office/spreadsheetml/2009/9/main" objectType="CheckBox" fmlaLink="$C$44" lockText="1" noThreeD="1"/>
</file>

<file path=xl/ctrlProps/ctrlProp15.xml><?xml version="1.0" encoding="utf-8"?>
<formControlPr xmlns="http://schemas.microsoft.com/office/spreadsheetml/2009/9/main" objectType="CheckBox" fmlaLink="$C$45" lockText="1" noThreeD="1"/>
</file>

<file path=xl/ctrlProps/ctrlProp16.xml><?xml version="1.0" encoding="utf-8"?>
<formControlPr xmlns="http://schemas.microsoft.com/office/spreadsheetml/2009/9/main" objectType="CheckBox" fmlaLink="$C$58" lockText="1" noThreeD="1"/>
</file>

<file path=xl/ctrlProps/ctrlProp17.xml><?xml version="1.0" encoding="utf-8"?>
<formControlPr xmlns="http://schemas.microsoft.com/office/spreadsheetml/2009/9/main" objectType="CheckBox" fmlaLink="$C$59" lockText="1" noThreeD="1"/>
</file>

<file path=xl/ctrlProps/ctrlProp18.xml><?xml version="1.0" encoding="utf-8"?>
<formControlPr xmlns="http://schemas.microsoft.com/office/spreadsheetml/2009/9/main" objectType="CheckBox" fmlaLink="$C$69" lockText="1" noThreeD="1"/>
</file>

<file path=xl/ctrlProps/ctrlProp19.xml><?xml version="1.0" encoding="utf-8"?>
<formControlPr xmlns="http://schemas.microsoft.com/office/spreadsheetml/2009/9/main" objectType="CheckBox" fmlaLink="$C$70" lockText="1" noThreeD="1"/>
</file>

<file path=xl/ctrlProps/ctrlProp2.xml><?xml version="1.0" encoding="utf-8"?>
<formControlPr xmlns="http://schemas.microsoft.com/office/spreadsheetml/2009/9/main" objectType="CheckBox" fmlaLink="$C$29" lockText="1" noThreeD="1"/>
</file>

<file path=xl/ctrlProps/ctrlProp20.xml><?xml version="1.0" encoding="utf-8"?>
<formControlPr xmlns="http://schemas.microsoft.com/office/spreadsheetml/2009/9/main" objectType="CheckBox" fmlaLink="$C$91" lockText="1" noThreeD="1"/>
</file>

<file path=xl/ctrlProps/ctrlProp21.xml><?xml version="1.0" encoding="utf-8"?>
<formControlPr xmlns="http://schemas.microsoft.com/office/spreadsheetml/2009/9/main" objectType="CheckBox" fmlaLink="$C$78" lockText="1" noThreeD="1"/>
</file>

<file path=xl/ctrlProps/ctrlProp22.xml><?xml version="1.0" encoding="utf-8"?>
<formControlPr xmlns="http://schemas.microsoft.com/office/spreadsheetml/2009/9/main" objectType="CheckBox" fmlaLink="$C$79" lockText="1" noThreeD="1"/>
</file>

<file path=xl/ctrlProps/ctrlProp23.xml><?xml version="1.0" encoding="utf-8"?>
<formControlPr xmlns="http://schemas.microsoft.com/office/spreadsheetml/2009/9/main" objectType="CheckBox" fmlaLink="$C$80" lockText="1" noThreeD="1"/>
</file>

<file path=xl/ctrlProps/ctrlProp24.xml><?xml version="1.0" encoding="utf-8"?>
<formControlPr xmlns="http://schemas.microsoft.com/office/spreadsheetml/2009/9/main" objectType="CheckBox" fmlaLink="$C$100" lockText="1" noThreeD="1"/>
</file>

<file path=xl/ctrlProps/ctrlProp25.xml><?xml version="1.0" encoding="utf-8"?>
<formControlPr xmlns="http://schemas.microsoft.com/office/spreadsheetml/2009/9/main" objectType="CheckBox" fmlaLink="$C$30" lockText="1" noThreeD="1"/>
</file>

<file path=xl/ctrlProps/ctrlProp26.xml><?xml version="1.0" encoding="utf-8"?>
<formControlPr xmlns="http://schemas.microsoft.com/office/spreadsheetml/2009/9/main" objectType="CheckBox" fmlaLink="$C$29" lockText="1" noThreeD="1"/>
</file>

<file path=xl/ctrlProps/ctrlProp27.xml><?xml version="1.0" encoding="utf-8"?>
<formControlPr xmlns="http://schemas.microsoft.com/office/spreadsheetml/2009/9/main" objectType="CheckBox" fmlaLink="$C$31" lockText="1" noThreeD="1"/>
</file>

<file path=xl/ctrlProps/ctrlProp28.xml><?xml version="1.0" encoding="utf-8"?>
<formControlPr xmlns="http://schemas.microsoft.com/office/spreadsheetml/2009/9/main" objectType="CheckBox" fmlaLink="$C$32" lockText="1" noThreeD="1"/>
</file>

<file path=xl/ctrlProps/ctrlProp29.xml><?xml version="1.0" encoding="utf-8"?>
<formControlPr xmlns="http://schemas.microsoft.com/office/spreadsheetml/2009/9/main" objectType="CheckBox" fmlaLink="$C$33" lockText="1" noThreeD="1"/>
</file>

<file path=xl/ctrlProps/ctrlProp3.xml><?xml version="1.0" encoding="utf-8"?>
<formControlPr xmlns="http://schemas.microsoft.com/office/spreadsheetml/2009/9/main" objectType="CheckBox" fmlaLink="$C$31" lockText="1" noThreeD="1"/>
</file>

<file path=xl/ctrlProps/ctrlProp30.xml><?xml version="1.0" encoding="utf-8"?>
<formControlPr xmlns="http://schemas.microsoft.com/office/spreadsheetml/2009/9/main" objectType="CheckBox" fmlaLink="$C$34" lockText="1" noThreeD="1"/>
</file>

<file path=xl/ctrlProps/ctrlProp31.xml><?xml version="1.0" encoding="utf-8"?>
<formControlPr xmlns="http://schemas.microsoft.com/office/spreadsheetml/2009/9/main" objectType="CheckBox" fmlaLink="$C$36" lockText="1" noThreeD="1"/>
</file>

<file path=xl/ctrlProps/ctrlProp32.xml><?xml version="1.0" encoding="utf-8"?>
<formControlPr xmlns="http://schemas.microsoft.com/office/spreadsheetml/2009/9/main" objectType="CheckBox" fmlaLink="$C$37" lockText="1" noThreeD="1"/>
</file>

<file path=xl/ctrlProps/ctrlProp33.xml><?xml version="1.0" encoding="utf-8"?>
<formControlPr xmlns="http://schemas.microsoft.com/office/spreadsheetml/2009/9/main" objectType="CheckBox" fmlaLink="$C$38" lockText="1" noThreeD="1"/>
</file>

<file path=xl/ctrlProps/ctrlProp34.xml><?xml version="1.0" encoding="utf-8"?>
<formControlPr xmlns="http://schemas.microsoft.com/office/spreadsheetml/2009/9/main" objectType="CheckBox" fmlaLink="$C$40" lockText="1" noThreeD="1"/>
</file>

<file path=xl/ctrlProps/ctrlProp35.xml><?xml version="1.0" encoding="utf-8"?>
<formControlPr xmlns="http://schemas.microsoft.com/office/spreadsheetml/2009/9/main" objectType="CheckBox" fmlaLink="$C$41" lockText="1" noThreeD="1"/>
</file>

<file path=xl/ctrlProps/ctrlProp36.xml><?xml version="1.0" encoding="utf-8"?>
<formControlPr xmlns="http://schemas.microsoft.com/office/spreadsheetml/2009/9/main" objectType="CheckBox" fmlaLink="$C$42" lockText="1" noThreeD="1"/>
</file>

<file path=xl/ctrlProps/ctrlProp37.xml><?xml version="1.0" encoding="utf-8"?>
<formControlPr xmlns="http://schemas.microsoft.com/office/spreadsheetml/2009/9/main" objectType="CheckBox" fmlaLink="$C$43" lockText="1" noThreeD="1"/>
</file>

<file path=xl/ctrlProps/ctrlProp38.xml><?xml version="1.0" encoding="utf-8"?>
<formControlPr xmlns="http://schemas.microsoft.com/office/spreadsheetml/2009/9/main" objectType="CheckBox" fmlaLink="$C$44" lockText="1" noThreeD="1"/>
</file>

<file path=xl/ctrlProps/ctrlProp39.xml><?xml version="1.0" encoding="utf-8"?>
<formControlPr xmlns="http://schemas.microsoft.com/office/spreadsheetml/2009/9/main" objectType="CheckBox" fmlaLink="$C$45" lockText="1" noThreeD="1"/>
</file>

<file path=xl/ctrlProps/ctrlProp4.xml><?xml version="1.0" encoding="utf-8"?>
<formControlPr xmlns="http://schemas.microsoft.com/office/spreadsheetml/2009/9/main" objectType="CheckBox" fmlaLink="$C$32" lockText="1" noThreeD="1"/>
</file>

<file path=xl/ctrlProps/ctrlProp40.xml><?xml version="1.0" encoding="utf-8"?>
<formControlPr xmlns="http://schemas.microsoft.com/office/spreadsheetml/2009/9/main" objectType="CheckBox" fmlaLink="$C$58" lockText="1" noThreeD="1"/>
</file>

<file path=xl/ctrlProps/ctrlProp41.xml><?xml version="1.0" encoding="utf-8"?>
<formControlPr xmlns="http://schemas.microsoft.com/office/spreadsheetml/2009/9/main" objectType="CheckBox" fmlaLink="$C$59" lockText="1" noThreeD="1"/>
</file>

<file path=xl/ctrlProps/ctrlProp42.xml><?xml version="1.0" encoding="utf-8"?>
<formControlPr xmlns="http://schemas.microsoft.com/office/spreadsheetml/2009/9/main" objectType="CheckBox" fmlaLink="$C$69" lockText="1" noThreeD="1"/>
</file>

<file path=xl/ctrlProps/ctrlProp43.xml><?xml version="1.0" encoding="utf-8"?>
<formControlPr xmlns="http://schemas.microsoft.com/office/spreadsheetml/2009/9/main" objectType="CheckBox" fmlaLink="$C$70" lockText="1" noThreeD="1"/>
</file>

<file path=xl/ctrlProps/ctrlProp44.xml><?xml version="1.0" encoding="utf-8"?>
<formControlPr xmlns="http://schemas.microsoft.com/office/spreadsheetml/2009/9/main" objectType="CheckBox" fmlaLink="$C$91" lockText="1" noThreeD="1"/>
</file>

<file path=xl/ctrlProps/ctrlProp45.xml><?xml version="1.0" encoding="utf-8"?>
<formControlPr xmlns="http://schemas.microsoft.com/office/spreadsheetml/2009/9/main" objectType="CheckBox" fmlaLink="$C$78" lockText="1" noThreeD="1"/>
</file>

<file path=xl/ctrlProps/ctrlProp46.xml><?xml version="1.0" encoding="utf-8"?>
<formControlPr xmlns="http://schemas.microsoft.com/office/spreadsheetml/2009/9/main" objectType="CheckBox" fmlaLink="$C$79" lockText="1" noThreeD="1"/>
</file>

<file path=xl/ctrlProps/ctrlProp47.xml><?xml version="1.0" encoding="utf-8"?>
<formControlPr xmlns="http://schemas.microsoft.com/office/spreadsheetml/2009/9/main" objectType="CheckBox" fmlaLink="$C$80" lockText="1" noThreeD="1"/>
</file>

<file path=xl/ctrlProps/ctrlProp48.xml><?xml version="1.0" encoding="utf-8"?>
<formControlPr xmlns="http://schemas.microsoft.com/office/spreadsheetml/2009/9/main" objectType="CheckBox" fmlaLink="$C$100" lockText="1" noThreeD="1"/>
</file>

<file path=xl/ctrlProps/ctrlProp49.xml><?xml version="1.0" encoding="utf-8"?>
<formControlPr xmlns="http://schemas.microsoft.com/office/spreadsheetml/2009/9/main" objectType="CheckBox" fmlaLink="$C$28" lockText="1" noThreeD="1"/>
</file>

<file path=xl/ctrlProps/ctrlProp5.xml><?xml version="1.0" encoding="utf-8"?>
<formControlPr xmlns="http://schemas.microsoft.com/office/spreadsheetml/2009/9/main" objectType="CheckBox" fmlaLink="$C$33" lockText="1" noThreeD="1"/>
</file>

<file path=xl/ctrlProps/ctrlProp50.xml><?xml version="1.0" encoding="utf-8"?>
<formControlPr xmlns="http://schemas.microsoft.com/office/spreadsheetml/2009/9/main" objectType="CheckBox" fmlaLink="$C$29" lockText="1" noThreeD="1"/>
</file>

<file path=xl/ctrlProps/ctrlProp51.xml><?xml version="1.0" encoding="utf-8"?>
<formControlPr xmlns="http://schemas.microsoft.com/office/spreadsheetml/2009/9/main" objectType="CheckBox" fmlaLink="$C$30" lockText="1" noThreeD="1"/>
</file>

<file path=xl/ctrlProps/ctrlProp52.xml><?xml version="1.0" encoding="utf-8"?>
<formControlPr xmlns="http://schemas.microsoft.com/office/spreadsheetml/2009/9/main" objectType="CheckBox" fmlaLink="$C$31" lockText="1" noThreeD="1"/>
</file>

<file path=xl/ctrlProps/ctrlProp53.xml><?xml version="1.0" encoding="utf-8"?>
<formControlPr xmlns="http://schemas.microsoft.com/office/spreadsheetml/2009/9/main" objectType="CheckBox" fmlaLink="$C$32" lockText="1" noThreeD="1"/>
</file>

<file path=xl/ctrlProps/ctrlProp54.xml><?xml version="1.0" encoding="utf-8"?>
<formControlPr xmlns="http://schemas.microsoft.com/office/spreadsheetml/2009/9/main" objectType="CheckBox" fmlaLink="$C$35" lockText="1" noThreeD="1"/>
</file>

<file path=xl/ctrlProps/ctrlProp55.xml><?xml version="1.0" encoding="utf-8"?>
<formControlPr xmlns="http://schemas.microsoft.com/office/spreadsheetml/2009/9/main" objectType="CheckBox" fmlaLink="$C$36" lockText="1" noThreeD="1"/>
</file>

<file path=xl/ctrlProps/ctrlProp56.xml><?xml version="1.0" encoding="utf-8"?>
<formControlPr xmlns="http://schemas.microsoft.com/office/spreadsheetml/2009/9/main" objectType="CheckBox" fmlaLink="$C$39" lockText="1" noThreeD="1"/>
</file>

<file path=xl/ctrlProps/ctrlProp57.xml><?xml version="1.0" encoding="utf-8"?>
<formControlPr xmlns="http://schemas.microsoft.com/office/spreadsheetml/2009/9/main" objectType="CheckBox" fmlaLink="$C$40" lockText="1" noThreeD="1"/>
</file>

<file path=xl/ctrlProps/ctrlProp58.xml><?xml version="1.0" encoding="utf-8"?>
<formControlPr xmlns="http://schemas.microsoft.com/office/spreadsheetml/2009/9/main" objectType="CheckBox" fmlaLink="$C$41" lockText="1" noThreeD="1"/>
</file>

<file path=xl/ctrlProps/ctrlProp59.xml><?xml version="1.0" encoding="utf-8"?>
<formControlPr xmlns="http://schemas.microsoft.com/office/spreadsheetml/2009/9/main" objectType="CheckBox" fmlaLink="$C$42" lockText="1" noThreeD="1"/>
</file>

<file path=xl/ctrlProps/ctrlProp6.xml><?xml version="1.0" encoding="utf-8"?>
<formControlPr xmlns="http://schemas.microsoft.com/office/spreadsheetml/2009/9/main" objectType="CheckBox" fmlaLink="$C$34" lockText="1" noThreeD="1"/>
</file>

<file path=xl/ctrlProps/ctrlProp60.xml><?xml version="1.0" encoding="utf-8"?>
<formControlPr xmlns="http://schemas.microsoft.com/office/spreadsheetml/2009/9/main" objectType="CheckBox" fmlaLink="$C$43" lockText="1" noThreeD="1"/>
</file>

<file path=xl/ctrlProps/ctrlProp61.xml><?xml version="1.0" encoding="utf-8"?>
<formControlPr xmlns="http://schemas.microsoft.com/office/spreadsheetml/2009/9/main" objectType="CheckBox" fmlaLink="$C$80" lockText="1" noThreeD="1"/>
</file>

<file path=xl/ctrlProps/ctrlProp62.xml><?xml version="1.0" encoding="utf-8"?>
<formControlPr xmlns="http://schemas.microsoft.com/office/spreadsheetml/2009/9/main" objectType="CheckBox" fmlaLink="$C$91" lockText="1" noThreeD="1"/>
</file>

<file path=xl/ctrlProps/ctrlProp63.xml><?xml version="1.0" encoding="utf-8"?>
<formControlPr xmlns="http://schemas.microsoft.com/office/spreadsheetml/2009/9/main" objectType="CheckBox" fmlaLink="$C$29" lockText="1" noThreeD="1"/>
</file>

<file path=xl/ctrlProps/ctrlProp64.xml><?xml version="1.0" encoding="utf-8"?>
<formControlPr xmlns="http://schemas.microsoft.com/office/spreadsheetml/2009/9/main" objectType="CheckBox" fmlaLink="$C$28" lockText="1" noThreeD="1"/>
</file>

<file path=xl/ctrlProps/ctrlProp65.xml><?xml version="1.0" encoding="utf-8"?>
<formControlPr xmlns="http://schemas.microsoft.com/office/spreadsheetml/2009/9/main" objectType="CheckBox" fmlaLink="$C$30" lockText="1" noThreeD="1"/>
</file>

<file path=xl/ctrlProps/ctrlProp66.xml><?xml version="1.0" encoding="utf-8"?>
<formControlPr xmlns="http://schemas.microsoft.com/office/spreadsheetml/2009/9/main" objectType="CheckBox" fmlaLink="$C$31" lockText="1" noThreeD="1"/>
</file>

<file path=xl/ctrlProps/ctrlProp67.xml><?xml version="1.0" encoding="utf-8"?>
<formControlPr xmlns="http://schemas.microsoft.com/office/spreadsheetml/2009/9/main" objectType="CheckBox" fmlaLink="$C$32" lockText="1" noThreeD="1"/>
</file>

<file path=xl/ctrlProps/ctrlProp68.xml><?xml version="1.0" encoding="utf-8"?>
<formControlPr xmlns="http://schemas.microsoft.com/office/spreadsheetml/2009/9/main" objectType="CheckBox" fmlaLink="$C$33" lockText="1" noThreeD="1"/>
</file>

<file path=xl/ctrlProps/ctrlProp69.xml><?xml version="1.0" encoding="utf-8"?>
<formControlPr xmlns="http://schemas.microsoft.com/office/spreadsheetml/2009/9/main" objectType="CheckBox" fmlaLink="$C$35" lockText="1" noThreeD="1"/>
</file>

<file path=xl/ctrlProps/ctrlProp7.xml><?xml version="1.0" encoding="utf-8"?>
<formControlPr xmlns="http://schemas.microsoft.com/office/spreadsheetml/2009/9/main" objectType="CheckBox" fmlaLink="$C$36" lockText="1" noThreeD="1"/>
</file>

<file path=xl/ctrlProps/ctrlProp70.xml><?xml version="1.0" encoding="utf-8"?>
<formControlPr xmlns="http://schemas.microsoft.com/office/spreadsheetml/2009/9/main" objectType="CheckBox" fmlaLink="$C$36" lockText="1" noThreeD="1"/>
</file>

<file path=xl/ctrlProps/ctrlProp71.xml><?xml version="1.0" encoding="utf-8"?>
<formControlPr xmlns="http://schemas.microsoft.com/office/spreadsheetml/2009/9/main" objectType="CheckBox" fmlaLink="$C$37" lockText="1" noThreeD="1"/>
</file>

<file path=xl/ctrlProps/ctrlProp72.xml><?xml version="1.0" encoding="utf-8"?>
<formControlPr xmlns="http://schemas.microsoft.com/office/spreadsheetml/2009/9/main" objectType="CheckBox" fmlaLink="$C$39" lockText="1" noThreeD="1"/>
</file>

<file path=xl/ctrlProps/ctrlProp73.xml><?xml version="1.0" encoding="utf-8"?>
<formControlPr xmlns="http://schemas.microsoft.com/office/spreadsheetml/2009/9/main" objectType="CheckBox" fmlaLink="$C$40" lockText="1" noThreeD="1"/>
</file>

<file path=xl/ctrlProps/ctrlProp74.xml><?xml version="1.0" encoding="utf-8"?>
<formControlPr xmlns="http://schemas.microsoft.com/office/spreadsheetml/2009/9/main" objectType="CheckBox" fmlaLink="$C$41" lockText="1" noThreeD="1"/>
</file>

<file path=xl/ctrlProps/ctrlProp75.xml><?xml version="1.0" encoding="utf-8"?>
<formControlPr xmlns="http://schemas.microsoft.com/office/spreadsheetml/2009/9/main" objectType="CheckBox" fmlaLink="$C$42" lockText="1" noThreeD="1"/>
</file>

<file path=xl/ctrlProps/ctrlProp76.xml><?xml version="1.0" encoding="utf-8"?>
<formControlPr xmlns="http://schemas.microsoft.com/office/spreadsheetml/2009/9/main" objectType="CheckBox" fmlaLink="$C$43" lockText="1" noThreeD="1"/>
</file>

<file path=xl/ctrlProps/ctrlProp77.xml><?xml version="1.0" encoding="utf-8"?>
<formControlPr xmlns="http://schemas.microsoft.com/office/spreadsheetml/2009/9/main" objectType="CheckBox" fmlaLink="$C$44" lockText="1" noThreeD="1"/>
</file>

<file path=xl/ctrlProps/ctrlProp78.xml><?xml version="1.0" encoding="utf-8"?>
<formControlPr xmlns="http://schemas.microsoft.com/office/spreadsheetml/2009/9/main" objectType="CheckBox" fmlaLink="$C$56" lockText="1" noThreeD="1"/>
</file>

<file path=xl/ctrlProps/ctrlProp79.xml><?xml version="1.0" encoding="utf-8"?>
<formControlPr xmlns="http://schemas.microsoft.com/office/spreadsheetml/2009/9/main" objectType="CheckBox" fmlaLink="$C$57" lockText="1" noThreeD="1"/>
</file>

<file path=xl/ctrlProps/ctrlProp8.xml><?xml version="1.0" encoding="utf-8"?>
<formControlPr xmlns="http://schemas.microsoft.com/office/spreadsheetml/2009/9/main" objectType="CheckBox" fmlaLink="$C$37" lockText="1" noThreeD="1"/>
</file>

<file path=xl/ctrlProps/ctrlProp80.xml><?xml version="1.0" encoding="utf-8"?>
<formControlPr xmlns="http://schemas.microsoft.com/office/spreadsheetml/2009/9/main" objectType="CheckBox" fmlaLink="$C$67" lockText="1" noThreeD="1"/>
</file>

<file path=xl/ctrlProps/ctrlProp81.xml><?xml version="1.0" encoding="utf-8"?>
<formControlPr xmlns="http://schemas.microsoft.com/office/spreadsheetml/2009/9/main" objectType="CheckBox" fmlaLink="$C$68" lockText="1" noThreeD="1"/>
</file>

<file path=xl/ctrlProps/ctrlProp82.xml><?xml version="1.0" encoding="utf-8"?>
<formControlPr xmlns="http://schemas.microsoft.com/office/spreadsheetml/2009/9/main" objectType="CheckBox" fmlaLink="$C$91" lockText="1" noThreeD="1"/>
</file>

<file path=xl/ctrlProps/ctrlProp83.xml><?xml version="1.0" encoding="utf-8"?>
<formControlPr xmlns="http://schemas.microsoft.com/office/spreadsheetml/2009/9/main" objectType="CheckBox" fmlaLink="$C$78" lockText="1" noThreeD="1"/>
</file>

<file path=xl/ctrlProps/ctrlProp84.xml><?xml version="1.0" encoding="utf-8"?>
<formControlPr xmlns="http://schemas.microsoft.com/office/spreadsheetml/2009/9/main" objectType="CheckBox" fmlaLink="$C$79" lockText="1" noThreeD="1"/>
</file>

<file path=xl/ctrlProps/ctrlProp85.xml><?xml version="1.0" encoding="utf-8"?>
<formControlPr xmlns="http://schemas.microsoft.com/office/spreadsheetml/2009/9/main" objectType="CheckBox" fmlaLink="$C$80" lockText="1" noThreeD="1"/>
</file>

<file path=xl/ctrlProps/ctrlProp86.xml><?xml version="1.0" encoding="utf-8"?>
<formControlPr xmlns="http://schemas.microsoft.com/office/spreadsheetml/2009/9/main" objectType="CheckBox" fmlaLink="$C$28" lockText="1" noThreeD="1"/>
</file>

<file path=xl/ctrlProps/ctrlProp87.xml><?xml version="1.0" encoding="utf-8"?>
<formControlPr xmlns="http://schemas.microsoft.com/office/spreadsheetml/2009/9/main" objectType="CheckBox" fmlaLink="$C$27" lockText="1" noThreeD="1"/>
</file>

<file path=xl/ctrlProps/ctrlProp88.xml><?xml version="1.0" encoding="utf-8"?>
<formControlPr xmlns="http://schemas.microsoft.com/office/spreadsheetml/2009/9/main" objectType="CheckBox" fmlaLink="$C$29" lockText="1" noThreeD="1"/>
</file>

<file path=xl/ctrlProps/ctrlProp89.xml><?xml version="1.0" encoding="utf-8"?>
<formControlPr xmlns="http://schemas.microsoft.com/office/spreadsheetml/2009/9/main" objectType="CheckBox" fmlaLink="$C$30" lockText="1" noThreeD="1"/>
</file>

<file path=xl/ctrlProps/ctrlProp9.xml><?xml version="1.0" encoding="utf-8"?>
<formControlPr xmlns="http://schemas.microsoft.com/office/spreadsheetml/2009/9/main" objectType="CheckBox" fmlaLink="$C$38" lockText="1" noThreeD="1"/>
</file>

<file path=xl/ctrlProps/ctrlProp90.xml><?xml version="1.0" encoding="utf-8"?>
<formControlPr xmlns="http://schemas.microsoft.com/office/spreadsheetml/2009/9/main" objectType="CheckBox" fmlaLink="$C$31" lockText="1" noThreeD="1"/>
</file>

<file path=xl/ctrlProps/ctrlProp91.xml><?xml version="1.0" encoding="utf-8"?>
<formControlPr xmlns="http://schemas.microsoft.com/office/spreadsheetml/2009/9/main" objectType="CheckBox" fmlaLink="$C$32" lockText="1" noThreeD="1"/>
</file>

<file path=xl/ctrlProps/ctrlProp92.xml><?xml version="1.0" encoding="utf-8"?>
<formControlPr xmlns="http://schemas.microsoft.com/office/spreadsheetml/2009/9/main" objectType="CheckBox" fmlaLink="$C$34" lockText="1" noThreeD="1"/>
</file>

<file path=xl/ctrlProps/ctrlProp93.xml><?xml version="1.0" encoding="utf-8"?>
<formControlPr xmlns="http://schemas.microsoft.com/office/spreadsheetml/2009/9/main" objectType="CheckBox" fmlaLink="$C$35" lockText="1" noThreeD="1"/>
</file>

<file path=xl/ctrlProps/ctrlProp94.xml><?xml version="1.0" encoding="utf-8"?>
<formControlPr xmlns="http://schemas.microsoft.com/office/spreadsheetml/2009/9/main" objectType="CheckBox" fmlaLink="$C$36" lockText="1" noThreeD="1"/>
</file>

<file path=xl/ctrlProps/ctrlProp95.xml><?xml version="1.0" encoding="utf-8"?>
<formControlPr xmlns="http://schemas.microsoft.com/office/spreadsheetml/2009/9/main" objectType="CheckBox" fmlaLink="$C$38" lockText="1" noThreeD="1"/>
</file>

<file path=xl/ctrlProps/ctrlProp96.xml><?xml version="1.0" encoding="utf-8"?>
<formControlPr xmlns="http://schemas.microsoft.com/office/spreadsheetml/2009/9/main" objectType="CheckBox" fmlaLink="$C$39" lockText="1" noThreeD="1"/>
</file>

<file path=xl/ctrlProps/ctrlProp97.xml><?xml version="1.0" encoding="utf-8"?>
<formControlPr xmlns="http://schemas.microsoft.com/office/spreadsheetml/2009/9/main" objectType="CheckBox" fmlaLink="$C$40" lockText="1" noThreeD="1"/>
</file>

<file path=xl/ctrlProps/ctrlProp98.xml><?xml version="1.0" encoding="utf-8"?>
<formControlPr xmlns="http://schemas.microsoft.com/office/spreadsheetml/2009/9/main" objectType="CheckBox" fmlaLink="$C$41" lockText="1" noThreeD="1"/>
</file>

<file path=xl/ctrlProps/ctrlProp99.xml><?xml version="1.0" encoding="utf-8"?>
<formControlPr xmlns="http://schemas.microsoft.com/office/spreadsheetml/2009/9/main" objectType="CheckBox" fmlaLink="$C$42"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0</xdr:colOff>
      <xdr:row>12</xdr:row>
      <xdr:rowOff>400050</xdr:rowOff>
    </xdr:from>
    <xdr:to>
      <xdr:col>15</xdr:col>
      <xdr:colOff>0</xdr:colOff>
      <xdr:row>44</xdr:row>
      <xdr:rowOff>81915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2638425"/>
          <a:ext cx="9601200" cy="5720715"/>
        </a:xfrm>
        <a:prstGeom prst="rect">
          <a:avLst/>
        </a:prstGeom>
        <a:solidFill>
          <a:schemeClr val="lt1"/>
        </a:solidFill>
        <a:ln w="9525" cmpd="sng">
          <a:solidFill>
            <a:schemeClr val="tx1">
              <a:lumMod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AU" sz="1000">
              <a:solidFill>
                <a:srgbClr val="000000"/>
              </a:solidFill>
              <a:effectLst/>
              <a:latin typeface="Arial" panose="020B0604020202020204" pitchFamily="34" charset="0"/>
              <a:ea typeface="+mn-ea"/>
              <a:cs typeface="Arial" panose="020B0604020202020204" pitchFamily="34" charset="0"/>
            </a:rPr>
            <a:t>The Green Star rating system (‘Green Star Rating System’) and the Green Star Rating Tools (‘Rating Tools’) have been developed by the New Zealand Green Building Council (‘NZGBC’). The Rating Tools are intended for use by project teams, contractors and other interested parties to validate sustainability initiatives of the design and construction phases of eligible projects. </a:t>
          </a:r>
        </a:p>
        <a:p>
          <a:endParaRPr lang="en-AU" sz="1000">
            <a:solidFill>
              <a:srgbClr val="000000"/>
            </a:solidFill>
            <a:effectLst/>
            <a:latin typeface="Arial" panose="020B0604020202020204" pitchFamily="34" charset="0"/>
            <a:ea typeface="+mn-ea"/>
            <a:cs typeface="Arial" panose="020B0604020202020204" pitchFamily="34" charset="0"/>
          </a:endParaRPr>
        </a:p>
        <a:p>
          <a:r>
            <a:rPr lang="en-AU" sz="1000">
              <a:solidFill>
                <a:srgbClr val="000000"/>
              </a:solidFill>
              <a:effectLst/>
              <a:latin typeface="Arial" panose="020B0604020202020204" pitchFamily="34" charset="0"/>
              <a:ea typeface="+mn-ea"/>
              <a:cs typeface="Arial" panose="020B0604020202020204" pitchFamily="34" charset="0"/>
            </a:rPr>
            <a:t>The Green Star Rating System and the Rating Tools have been developed with the assistance and participation of representatives from many organisations. The Rating Tools may be subject to further development in the future. The views and opinions expressed in the Submission Guidelines have been determined by the NZGBC.</a:t>
          </a:r>
        </a:p>
        <a:p>
          <a:endParaRPr lang="en-AU" sz="1000">
            <a:solidFill>
              <a:srgbClr val="000000"/>
            </a:solidFill>
            <a:effectLst/>
            <a:latin typeface="Arial" panose="020B0604020202020204" pitchFamily="34" charset="0"/>
            <a:ea typeface="+mn-ea"/>
            <a:cs typeface="Arial" panose="020B0604020202020204" pitchFamily="34" charset="0"/>
          </a:endParaRPr>
        </a:p>
        <a:p>
          <a:r>
            <a:rPr lang="en-AU" sz="1000">
              <a:solidFill>
                <a:srgbClr val="000000"/>
              </a:solidFill>
              <a:effectLst/>
              <a:latin typeface="Arial" panose="020B0604020202020204" pitchFamily="34" charset="0"/>
              <a:ea typeface="+mn-ea"/>
              <a:cs typeface="Arial" panose="020B0604020202020204" pitchFamily="34" charset="0"/>
            </a:rPr>
            <a:t>The NZGBC authorises you to view and use this Submission Guidelines for your individual use only. In exchange for this authorisation, you agree that the NZGBC retains all copyright and other proprietary rights contained in, and in relation to, the Submission Guidelines and agree not to sell, modify, or use for another purpose the Submission Guidelines or to reproduce, display or distribute the Submission Guidelines in any way for any public or commercial purpose, including display on a website or in a networked environment.</a:t>
          </a:r>
        </a:p>
        <a:p>
          <a:endParaRPr lang="en-AU" sz="1000">
            <a:solidFill>
              <a:srgbClr val="000000"/>
            </a:solidFill>
            <a:effectLst/>
            <a:latin typeface="Arial" panose="020B0604020202020204" pitchFamily="34" charset="0"/>
            <a:ea typeface="+mn-ea"/>
            <a:cs typeface="Arial" panose="020B0604020202020204" pitchFamily="34" charset="0"/>
          </a:endParaRPr>
        </a:p>
        <a:p>
          <a:r>
            <a:rPr lang="en-AU" sz="1000">
              <a:solidFill>
                <a:srgbClr val="000000"/>
              </a:solidFill>
              <a:effectLst/>
              <a:latin typeface="Arial" panose="020B0604020202020204" pitchFamily="34" charset="0"/>
              <a:ea typeface="+mn-ea"/>
              <a:cs typeface="Arial" panose="020B0604020202020204" pitchFamily="34" charset="0"/>
            </a:rPr>
            <a:t>Unauthorised use of the Submission Guidelines will violate copyright, and other laws, and is prohibited. All text, graphics, layout and other elements of content contained in the Submission Guidelines is owned by the NZGBC and are protected by copyright, trade mark and other laws.</a:t>
          </a:r>
        </a:p>
        <a:p>
          <a:endParaRPr lang="en-AU" sz="1000">
            <a:solidFill>
              <a:srgbClr val="000000"/>
            </a:solidFill>
            <a:effectLst/>
            <a:latin typeface="Arial" panose="020B0604020202020204" pitchFamily="34" charset="0"/>
            <a:ea typeface="+mn-ea"/>
            <a:cs typeface="Arial" panose="020B0604020202020204" pitchFamily="34" charset="0"/>
          </a:endParaRPr>
        </a:p>
        <a:p>
          <a:r>
            <a:rPr lang="en-AU" sz="1000">
              <a:solidFill>
                <a:srgbClr val="000000"/>
              </a:solidFill>
              <a:effectLst/>
              <a:latin typeface="Arial" panose="020B0604020202020204" pitchFamily="34" charset="0"/>
              <a:ea typeface="+mn-ea"/>
              <a:cs typeface="Arial" panose="020B0604020202020204" pitchFamily="34" charset="0"/>
            </a:rPr>
            <a:t>To the maximum extent permitted by law, the NZGBC does not accept responsibility, including without limitation for negligence, for any inaccuracy within the Submission Guidelines and makes no warranty, expressed or implied, including the warranties of merchantability and fitness for a particular purpose, nor assumes any legal liability or responsibility to you or any third parties for the accuracy, completeness, or use of, or reliance on, any information contained in the Submission Guidelines or for any injuries, losses or damages (including, without limitation, equitable relief and economic loss) arising out of such use or reliance. The Submission Guidelines is no substitute for professional advice. You should seek your own professional and other appropriate, advice on the matters addressed by it.</a:t>
          </a:r>
        </a:p>
        <a:p>
          <a:endParaRPr lang="en-AU" sz="1000">
            <a:solidFill>
              <a:srgbClr val="000000"/>
            </a:solidFill>
            <a:effectLst/>
            <a:latin typeface="Arial" panose="020B0604020202020204" pitchFamily="34" charset="0"/>
            <a:ea typeface="+mn-ea"/>
            <a:cs typeface="Arial" panose="020B0604020202020204" pitchFamily="34" charset="0"/>
          </a:endParaRPr>
        </a:p>
        <a:p>
          <a:r>
            <a:rPr lang="en-AU" sz="1000">
              <a:solidFill>
                <a:srgbClr val="000000"/>
              </a:solidFill>
              <a:effectLst/>
              <a:latin typeface="Arial" panose="020B0604020202020204" pitchFamily="34" charset="0"/>
              <a:ea typeface="+mn-ea"/>
              <a:cs typeface="Arial" panose="020B0604020202020204" pitchFamily="34" charset="0"/>
            </a:rPr>
            <a:t>As a condition of use of the Submission Guidelines, you covenant not to sue, and agree to release the NZGBC, its officers, agents, employees, contractors (including any Certified Assessor, any member of the Technical Working Group and any Independent Chair) and its members from and against any and all claims, demands and causes of action for any injury, loss, destruction or damage (including, without limitation, equitable relief and economic loss) that you may now or hereafter have a right to assert against such parties as a result of your use of, or reliance on, the Submission Guidelines.</a:t>
          </a:r>
        </a:p>
        <a:p>
          <a:endParaRPr lang="en-AU" sz="1000">
            <a:solidFill>
              <a:srgbClr val="000000"/>
            </a:solidFill>
            <a:effectLst/>
            <a:latin typeface="Arial" panose="020B0604020202020204" pitchFamily="34" charset="0"/>
            <a:ea typeface="+mn-ea"/>
            <a:cs typeface="Arial" panose="020B0604020202020204" pitchFamily="34" charset="0"/>
          </a:endParaRPr>
        </a:p>
        <a:p>
          <a:r>
            <a:rPr lang="en-AU" sz="1000">
              <a:solidFill>
                <a:srgbClr val="000000"/>
              </a:solidFill>
              <a:effectLst/>
              <a:latin typeface="Arial" panose="020B0604020202020204" pitchFamily="34" charset="0"/>
              <a:ea typeface="+mn-ea"/>
              <a:cs typeface="Arial" panose="020B0604020202020204" pitchFamily="34" charset="0"/>
            </a:rPr>
            <a:t>The application of the Submission Guidelines to all Eligible Projects is encouraged to assess and improve their environmental attributes. </a:t>
          </a:r>
        </a:p>
        <a:p>
          <a:endParaRPr lang="en-AU" sz="1000">
            <a:solidFill>
              <a:srgbClr val="000000"/>
            </a:solidFill>
            <a:effectLst/>
            <a:latin typeface="Arial" panose="020B0604020202020204" pitchFamily="34" charset="0"/>
            <a:ea typeface="+mn-ea"/>
            <a:cs typeface="Arial" panose="020B0604020202020204" pitchFamily="34" charset="0"/>
          </a:endParaRPr>
        </a:p>
        <a:p>
          <a:r>
            <a:rPr lang="en-AU" sz="1000">
              <a:solidFill>
                <a:srgbClr val="000000"/>
              </a:solidFill>
              <a:effectLst/>
              <a:latin typeface="Arial" panose="020B0604020202020204" pitchFamily="34" charset="0"/>
              <a:ea typeface="+mn-ea"/>
              <a:cs typeface="Arial" panose="020B0604020202020204" pitchFamily="34" charset="0"/>
            </a:rPr>
            <a:t>The NZGBC offers a formal certification process whereby persons may apply for a particular design or project to be assessed for compliance with the criteria specified in the Submission Guidelines upon payment of the relevant fee and execution of the required documentation by the applicant. </a:t>
          </a:r>
        </a:p>
        <a:p>
          <a:endParaRPr lang="en-AU" sz="1000">
            <a:solidFill>
              <a:srgbClr val="000000"/>
            </a:solidFill>
            <a:effectLst/>
            <a:latin typeface="Arial" panose="020B0604020202020204" pitchFamily="34" charset="0"/>
            <a:ea typeface="+mn-ea"/>
            <a:cs typeface="Arial" panose="020B0604020202020204" pitchFamily="34" charset="0"/>
          </a:endParaRPr>
        </a:p>
        <a:p>
          <a:r>
            <a:rPr lang="en-AU" sz="1000">
              <a:solidFill>
                <a:srgbClr val="000000"/>
              </a:solidFill>
              <a:effectLst/>
              <a:latin typeface="Arial" panose="020B0604020202020204" pitchFamily="34" charset="0"/>
              <a:ea typeface="+mn-ea"/>
              <a:cs typeface="Arial" panose="020B0604020202020204" pitchFamily="34" charset="0"/>
            </a:rPr>
            <a:t>For NZGBC non-member organisations: This soft-copy gives your organisation license to use the Submission Guidelines by up to 5 users. Organisations that require a license for more than 5 users should contact the NZGBC.</a:t>
          </a:r>
        </a:p>
        <a:p>
          <a:endParaRPr lang="en-AU" sz="1000">
            <a:solidFill>
              <a:srgbClr val="000000"/>
            </a:solidFill>
            <a:effectLst/>
            <a:latin typeface="Arial" panose="020B0604020202020204" pitchFamily="34" charset="0"/>
            <a:ea typeface="+mn-ea"/>
            <a:cs typeface="Arial" panose="020B0604020202020204" pitchFamily="34" charset="0"/>
          </a:endParaRPr>
        </a:p>
        <a:p>
          <a:r>
            <a:rPr lang="en-AU" sz="1000">
              <a:solidFill>
                <a:srgbClr val="000000"/>
              </a:solidFill>
              <a:effectLst/>
              <a:latin typeface="Arial" panose="020B0604020202020204" pitchFamily="34" charset="0"/>
              <a:ea typeface="+mn-ea"/>
              <a:cs typeface="Arial" panose="020B0604020202020204" pitchFamily="34" charset="0"/>
            </a:rPr>
            <a:t>All rights reserved.</a:t>
          </a:r>
        </a:p>
        <a:p>
          <a:br>
            <a:rPr lang="en-AU" sz="900">
              <a:solidFill>
                <a:srgbClr val="000000"/>
              </a:solidFill>
              <a:effectLst/>
              <a:latin typeface="Arial" panose="020B0604020202020204" pitchFamily="34" charset="0"/>
              <a:ea typeface="+mn-ea"/>
              <a:cs typeface="Arial" panose="020B0604020202020204" pitchFamily="34" charset="0"/>
            </a:rPr>
          </a:br>
          <a:endParaRPr lang="en-AU" sz="900">
            <a:solidFill>
              <a:srgbClr val="000000"/>
            </a:solidFill>
            <a:effectLst/>
            <a:latin typeface="Arial" panose="020B0604020202020204" pitchFamily="34" charset="0"/>
            <a:ea typeface="+mn-ea"/>
            <a:cs typeface="Arial" panose="020B0604020202020204" pitchFamily="34" charset="0"/>
          </a:endParaRPr>
        </a:p>
      </xdr:txBody>
    </xdr:sp>
    <xdr:clientData/>
  </xdr:twoCellAnchor>
  <xdr:twoCellAnchor>
    <xdr:from>
      <xdr:col>2</xdr:col>
      <xdr:colOff>219075</xdr:colOff>
      <xdr:row>7</xdr:row>
      <xdr:rowOff>95250</xdr:rowOff>
    </xdr:from>
    <xdr:to>
      <xdr:col>2</xdr:col>
      <xdr:colOff>628650</xdr:colOff>
      <xdr:row>8</xdr:row>
      <xdr:rowOff>95250</xdr:rowOff>
    </xdr:to>
    <xdr:sp macro="" textlink="">
      <xdr:nvSpPr>
        <xdr:cNvPr id="6" name="Rectangle 5">
          <a:extLst>
            <a:ext uri="{FF2B5EF4-FFF2-40B4-BE49-F238E27FC236}">
              <a16:creationId xmlns:a16="http://schemas.microsoft.com/office/drawing/2014/main" id="{00000000-0008-0000-0000-000006000000}"/>
            </a:ext>
          </a:extLst>
        </xdr:cNvPr>
        <xdr:cNvSpPr/>
      </xdr:nvSpPr>
      <xdr:spPr>
        <a:xfrm>
          <a:off x="904875" y="1295400"/>
          <a:ext cx="409575" cy="17145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NZ" sz="1100"/>
        </a:p>
      </xdr:txBody>
    </xdr:sp>
    <xdr:clientData/>
  </xdr:twoCellAnchor>
  <xdr:twoCellAnchor>
    <xdr:from>
      <xdr:col>0</xdr:col>
      <xdr:colOff>0</xdr:colOff>
      <xdr:row>0</xdr:row>
      <xdr:rowOff>16083</xdr:rowOff>
    </xdr:from>
    <xdr:to>
      <xdr:col>12</xdr:col>
      <xdr:colOff>130811</xdr:colOff>
      <xdr:row>11</xdr:row>
      <xdr:rowOff>26123</xdr:rowOff>
    </xdr:to>
    <xdr:grpSp>
      <xdr:nvGrpSpPr>
        <xdr:cNvPr id="9" name="Group 8">
          <a:extLst>
            <a:ext uri="{FF2B5EF4-FFF2-40B4-BE49-F238E27FC236}">
              <a16:creationId xmlns:a16="http://schemas.microsoft.com/office/drawing/2014/main" id="{00000000-0008-0000-0000-000009000000}"/>
            </a:ext>
          </a:extLst>
        </xdr:cNvPr>
        <xdr:cNvGrpSpPr/>
      </xdr:nvGrpSpPr>
      <xdr:grpSpPr>
        <a:xfrm>
          <a:off x="0" y="16083"/>
          <a:ext cx="7674611" cy="1895990"/>
          <a:chOff x="0" y="19051"/>
          <a:chExt cx="7677151" cy="1911068"/>
        </a:xfrm>
      </xdr:grpSpPr>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1"/>
            <a:ext cx="7677151" cy="1868803"/>
          </a:xfrm>
          <a:prstGeom prst="rect">
            <a:avLst/>
          </a:prstGeom>
        </xdr:spPr>
      </xdr:pic>
      <xdr:sp macro="" textlink="">
        <xdr:nvSpPr>
          <xdr:cNvPr id="3" name="Rectangle 2">
            <a:extLst>
              <a:ext uri="{FF2B5EF4-FFF2-40B4-BE49-F238E27FC236}">
                <a16:creationId xmlns:a16="http://schemas.microsoft.com/office/drawing/2014/main" id="{00000000-0008-0000-0000-000003000000}"/>
              </a:ext>
            </a:extLst>
          </xdr:cNvPr>
          <xdr:cNvSpPr/>
        </xdr:nvSpPr>
        <xdr:spPr>
          <a:xfrm>
            <a:off x="925830" y="1352550"/>
            <a:ext cx="891540" cy="247650"/>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NZ" sz="1100">
              <a:solidFill>
                <a:sysClr val="windowText" lastClr="000000"/>
              </a:solidFill>
            </a:endParaRPr>
          </a:p>
        </xdr:txBody>
      </xdr:sp>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17145" y="1560195"/>
            <a:ext cx="1026133" cy="3699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NZ" sz="2000" b="1">
                <a:solidFill>
                  <a:sysClr val="windowText" lastClr="000000"/>
                </a:solidFill>
                <a:latin typeface="+mn-lt"/>
              </a:rPr>
              <a:t>NZv1.1</a:t>
            </a:r>
          </a:p>
        </xdr:txBody>
      </xdr:sp>
    </xdr:grpSp>
    <xdr:clientData/>
  </xdr:twoCellAnchor>
  <xdr:twoCellAnchor editAs="oneCell">
    <xdr:from>
      <xdr:col>1</xdr:col>
      <xdr:colOff>95250</xdr:colOff>
      <xdr:row>7</xdr:row>
      <xdr:rowOff>104775</xdr:rowOff>
    </xdr:from>
    <xdr:to>
      <xdr:col>2</xdr:col>
      <xdr:colOff>503904</xdr:colOff>
      <xdr:row>8</xdr:row>
      <xdr:rowOff>124985</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a:stretch>
          <a:fillRect/>
        </a:stretch>
      </xdr:blipFill>
      <xdr:spPr>
        <a:xfrm>
          <a:off x="95250" y="1371600"/>
          <a:ext cx="1094454" cy="201185"/>
        </a:xfrm>
        <a:prstGeom prst="rect">
          <a:avLst/>
        </a:prstGeom>
      </xdr:spPr>
    </xdr:pic>
    <xdr:clientData/>
  </xdr:twoCellAnchor>
  <xdr:twoCellAnchor editAs="oneCell">
    <xdr:from>
      <xdr:col>11</xdr:col>
      <xdr:colOff>306766</xdr:colOff>
      <xdr:row>8</xdr:row>
      <xdr:rowOff>133349</xdr:rowOff>
    </xdr:from>
    <xdr:to>
      <xdr:col>14</xdr:col>
      <xdr:colOff>663575</xdr:colOff>
      <xdr:row>11</xdr:row>
      <xdr:rowOff>183135</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164766" y="1581149"/>
          <a:ext cx="2414209" cy="5927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990600</xdr:colOff>
      <xdr:row>0</xdr:row>
      <xdr:rowOff>1524000</xdr:rowOff>
    </xdr:from>
    <xdr:to>
      <xdr:col>2</xdr:col>
      <xdr:colOff>9525</xdr:colOff>
      <xdr:row>0</xdr:row>
      <xdr:rowOff>1695450</xdr:rowOff>
    </xdr:to>
    <xdr:sp macro="" textlink="">
      <xdr:nvSpPr>
        <xdr:cNvPr id="3" name="Rectangle 2">
          <a:extLst>
            <a:ext uri="{FF2B5EF4-FFF2-40B4-BE49-F238E27FC236}">
              <a16:creationId xmlns:a16="http://schemas.microsoft.com/office/drawing/2014/main" id="{00000000-0008-0000-0100-000003000000}"/>
            </a:ext>
          </a:extLst>
        </xdr:cNvPr>
        <xdr:cNvSpPr/>
      </xdr:nvSpPr>
      <xdr:spPr>
        <a:xfrm>
          <a:off x="1285875" y="1524000"/>
          <a:ext cx="952500" cy="171450"/>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NZ" sz="1100"/>
        </a:p>
      </xdr:txBody>
    </xdr:sp>
    <xdr:clientData/>
  </xdr:twoCellAnchor>
  <xdr:twoCellAnchor>
    <xdr:from>
      <xdr:col>0</xdr:col>
      <xdr:colOff>0</xdr:colOff>
      <xdr:row>0</xdr:row>
      <xdr:rowOff>10355</xdr:rowOff>
    </xdr:from>
    <xdr:to>
      <xdr:col>3</xdr:col>
      <xdr:colOff>4036061</xdr:colOff>
      <xdr:row>1</xdr:row>
      <xdr:rowOff>87254</xdr:rowOff>
    </xdr:to>
    <xdr:grpSp>
      <xdr:nvGrpSpPr>
        <xdr:cNvPr id="31" name="Group 30">
          <a:extLst>
            <a:ext uri="{FF2B5EF4-FFF2-40B4-BE49-F238E27FC236}">
              <a16:creationId xmlns:a16="http://schemas.microsoft.com/office/drawing/2014/main" id="{00000000-0008-0000-0100-00001F000000}"/>
            </a:ext>
          </a:extLst>
        </xdr:cNvPr>
        <xdr:cNvGrpSpPr/>
      </xdr:nvGrpSpPr>
      <xdr:grpSpPr>
        <a:xfrm>
          <a:off x="0" y="10355"/>
          <a:ext cx="7655561" cy="2000949"/>
          <a:chOff x="0" y="19051"/>
          <a:chExt cx="7677151" cy="1911025"/>
        </a:xfrm>
      </xdr:grpSpPr>
      <xdr:pic>
        <xdr:nvPicPr>
          <xdr:cNvPr id="32" name="Picture 31">
            <a:extLst>
              <a:ext uri="{FF2B5EF4-FFF2-40B4-BE49-F238E27FC236}">
                <a16:creationId xmlns:a16="http://schemas.microsoft.com/office/drawing/2014/main" id="{00000000-0008-0000-0100-000020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1"/>
            <a:ext cx="7677151" cy="1868803"/>
          </a:xfrm>
          <a:prstGeom prst="rect">
            <a:avLst/>
          </a:prstGeom>
        </xdr:spPr>
      </xdr:pic>
      <xdr:sp macro="" textlink="">
        <xdr:nvSpPr>
          <xdr:cNvPr id="33" name="Rectangle 32">
            <a:extLst>
              <a:ext uri="{FF2B5EF4-FFF2-40B4-BE49-F238E27FC236}">
                <a16:creationId xmlns:a16="http://schemas.microsoft.com/office/drawing/2014/main" id="{00000000-0008-0000-0100-000021000000}"/>
              </a:ext>
            </a:extLst>
          </xdr:cNvPr>
          <xdr:cNvSpPr/>
        </xdr:nvSpPr>
        <xdr:spPr>
          <a:xfrm>
            <a:off x="925830" y="1352550"/>
            <a:ext cx="891540" cy="247650"/>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NZ" sz="1100">
              <a:solidFill>
                <a:sysClr val="windowText" lastClr="000000"/>
              </a:solidFill>
            </a:endParaRPr>
          </a:p>
        </xdr:txBody>
      </xdr:sp>
      <xdr:sp macro="" textlink="">
        <xdr:nvSpPr>
          <xdr:cNvPr id="34" name="TextBox 33">
            <a:extLst>
              <a:ext uri="{FF2B5EF4-FFF2-40B4-BE49-F238E27FC236}">
                <a16:creationId xmlns:a16="http://schemas.microsoft.com/office/drawing/2014/main" id="{00000000-0008-0000-0100-000022000000}"/>
              </a:ext>
            </a:extLst>
          </xdr:cNvPr>
          <xdr:cNvSpPr txBox="1"/>
        </xdr:nvSpPr>
        <xdr:spPr>
          <a:xfrm>
            <a:off x="17145" y="1560195"/>
            <a:ext cx="1026133" cy="3698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NZ" sz="2000" b="1">
                <a:solidFill>
                  <a:sysClr val="windowText" lastClr="000000"/>
                </a:solidFill>
                <a:latin typeface="+mn-lt"/>
              </a:rPr>
              <a:t>NZv1.1</a:t>
            </a:r>
          </a:p>
        </xdr:txBody>
      </xdr:sp>
    </xdr:grpSp>
    <xdr:clientData/>
  </xdr:twoCellAnchor>
  <xdr:twoCellAnchor editAs="oneCell">
    <xdr:from>
      <xdr:col>1</xdr:col>
      <xdr:colOff>85725</xdr:colOff>
      <xdr:row>0</xdr:row>
      <xdr:rowOff>1343025</xdr:rowOff>
    </xdr:from>
    <xdr:to>
      <xdr:col>1</xdr:col>
      <xdr:colOff>1180179</xdr:colOff>
      <xdr:row>0</xdr:row>
      <xdr:rowOff>1541035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85725" y="1343025"/>
          <a:ext cx="1094454" cy="198010"/>
        </a:xfrm>
        <a:prstGeom prst="rect">
          <a:avLst/>
        </a:prstGeom>
      </xdr:spPr>
    </xdr:pic>
    <xdr:clientData/>
  </xdr:twoCellAnchor>
  <xdr:twoCellAnchor editAs="oneCell">
    <xdr:from>
      <xdr:col>3</xdr:col>
      <xdr:colOff>3625850</xdr:colOff>
      <xdr:row>0</xdr:row>
      <xdr:rowOff>1543050</xdr:rowOff>
    </xdr:from>
    <xdr:to>
      <xdr:col>5</xdr:col>
      <xdr:colOff>286959</xdr:colOff>
      <xdr:row>1</xdr:row>
      <xdr:rowOff>208536</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264400" y="1543050"/>
          <a:ext cx="2414209" cy="5895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933450</xdr:colOff>
      <xdr:row>0</xdr:row>
      <xdr:rowOff>1371600</xdr:rowOff>
    </xdr:from>
    <xdr:to>
      <xdr:col>1</xdr:col>
      <xdr:colOff>1724025</xdr:colOff>
      <xdr:row>0</xdr:row>
      <xdr:rowOff>1543050</xdr:rowOff>
    </xdr:to>
    <xdr:sp macro="" textlink="">
      <xdr:nvSpPr>
        <xdr:cNvPr id="2" name="Rectangle 1">
          <a:extLst>
            <a:ext uri="{FF2B5EF4-FFF2-40B4-BE49-F238E27FC236}">
              <a16:creationId xmlns:a16="http://schemas.microsoft.com/office/drawing/2014/main" id="{00000000-0008-0000-0200-000002000000}"/>
            </a:ext>
          </a:extLst>
        </xdr:cNvPr>
        <xdr:cNvSpPr/>
      </xdr:nvSpPr>
      <xdr:spPr>
        <a:xfrm>
          <a:off x="1181100" y="1371600"/>
          <a:ext cx="790575" cy="171450"/>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NZ" sz="1100"/>
        </a:p>
      </xdr:txBody>
    </xdr:sp>
    <xdr:clientData/>
  </xdr:twoCellAnchor>
  <xdr:twoCellAnchor>
    <xdr:from>
      <xdr:col>0</xdr:col>
      <xdr:colOff>0</xdr:colOff>
      <xdr:row>0</xdr:row>
      <xdr:rowOff>10355</xdr:rowOff>
    </xdr:from>
    <xdr:to>
      <xdr:col>5</xdr:col>
      <xdr:colOff>1750061</xdr:colOff>
      <xdr:row>1</xdr:row>
      <xdr:rowOff>30104</xdr:rowOff>
    </xdr:to>
    <xdr:grpSp>
      <xdr:nvGrpSpPr>
        <xdr:cNvPr id="29" name="Group 28">
          <a:extLst>
            <a:ext uri="{FF2B5EF4-FFF2-40B4-BE49-F238E27FC236}">
              <a16:creationId xmlns:a16="http://schemas.microsoft.com/office/drawing/2014/main" id="{00000000-0008-0000-0200-00001D000000}"/>
            </a:ext>
          </a:extLst>
        </xdr:cNvPr>
        <xdr:cNvGrpSpPr/>
      </xdr:nvGrpSpPr>
      <xdr:grpSpPr>
        <a:xfrm>
          <a:off x="0" y="10355"/>
          <a:ext cx="7674611" cy="2000949"/>
          <a:chOff x="0" y="19051"/>
          <a:chExt cx="7677151" cy="1911025"/>
        </a:xfrm>
      </xdr:grpSpPr>
      <xdr:pic>
        <xdr:nvPicPr>
          <xdr:cNvPr id="30" name="Picture 29">
            <a:extLst>
              <a:ext uri="{FF2B5EF4-FFF2-40B4-BE49-F238E27FC236}">
                <a16:creationId xmlns:a16="http://schemas.microsoft.com/office/drawing/2014/main" id="{00000000-0008-0000-0200-00001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1"/>
            <a:ext cx="7677151" cy="1868803"/>
          </a:xfrm>
          <a:prstGeom prst="rect">
            <a:avLst/>
          </a:prstGeom>
        </xdr:spPr>
      </xdr:pic>
      <xdr:sp macro="" textlink="">
        <xdr:nvSpPr>
          <xdr:cNvPr id="31" name="Rectangle 30">
            <a:extLst>
              <a:ext uri="{FF2B5EF4-FFF2-40B4-BE49-F238E27FC236}">
                <a16:creationId xmlns:a16="http://schemas.microsoft.com/office/drawing/2014/main" id="{00000000-0008-0000-0200-00001F000000}"/>
              </a:ext>
            </a:extLst>
          </xdr:cNvPr>
          <xdr:cNvSpPr/>
        </xdr:nvSpPr>
        <xdr:spPr>
          <a:xfrm>
            <a:off x="925830" y="1352550"/>
            <a:ext cx="891540" cy="247650"/>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NZ" sz="1100">
              <a:solidFill>
                <a:sysClr val="windowText" lastClr="000000"/>
              </a:solidFill>
            </a:endParaRPr>
          </a:p>
        </xdr:txBody>
      </xdr:sp>
      <xdr:sp macro="" textlink="">
        <xdr:nvSpPr>
          <xdr:cNvPr id="32" name="TextBox 31">
            <a:extLst>
              <a:ext uri="{FF2B5EF4-FFF2-40B4-BE49-F238E27FC236}">
                <a16:creationId xmlns:a16="http://schemas.microsoft.com/office/drawing/2014/main" id="{00000000-0008-0000-0200-000020000000}"/>
              </a:ext>
            </a:extLst>
          </xdr:cNvPr>
          <xdr:cNvSpPr txBox="1"/>
        </xdr:nvSpPr>
        <xdr:spPr>
          <a:xfrm>
            <a:off x="17145" y="1560195"/>
            <a:ext cx="1026133" cy="3698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NZ" sz="2000" b="1">
                <a:solidFill>
                  <a:sysClr val="windowText" lastClr="000000"/>
                </a:solidFill>
                <a:latin typeface="+mn-lt"/>
              </a:rPr>
              <a:t>NZv1.1</a:t>
            </a:r>
          </a:p>
        </xdr:txBody>
      </xdr:sp>
    </xdr:grpSp>
    <xdr:clientData/>
  </xdr:twoCellAnchor>
  <xdr:twoCellAnchor editAs="oneCell">
    <xdr:from>
      <xdr:col>1</xdr:col>
      <xdr:colOff>85725</xdr:colOff>
      <xdr:row>0</xdr:row>
      <xdr:rowOff>1352550</xdr:rowOff>
    </xdr:from>
    <xdr:to>
      <xdr:col>1</xdr:col>
      <xdr:colOff>1173829</xdr:colOff>
      <xdr:row>0</xdr:row>
      <xdr:rowOff>1550560</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85725" y="1352550"/>
          <a:ext cx="1088104" cy="198010"/>
        </a:xfrm>
        <a:prstGeom prst="rect">
          <a:avLst/>
        </a:prstGeom>
      </xdr:spPr>
    </xdr:pic>
    <xdr:clientData/>
  </xdr:twoCellAnchor>
  <xdr:twoCellAnchor editAs="oneCell">
    <xdr:from>
      <xdr:col>5</xdr:col>
      <xdr:colOff>1209675</xdr:colOff>
      <xdr:row>0</xdr:row>
      <xdr:rowOff>1543050</xdr:rowOff>
    </xdr:from>
    <xdr:to>
      <xdr:col>10</xdr:col>
      <xdr:colOff>20259</xdr:colOff>
      <xdr:row>1</xdr:row>
      <xdr:rowOff>151386</xdr:rowOff>
    </xdr:to>
    <xdr:pic>
      <xdr:nvPicPr>
        <xdr:cNvPr id="10" name="Picture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134225" y="1543050"/>
          <a:ext cx="2411034" cy="58953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190501</xdr:colOff>
      <xdr:row>0</xdr:row>
      <xdr:rowOff>0</xdr:rowOff>
    </xdr:from>
    <xdr:to>
      <xdr:col>3</xdr:col>
      <xdr:colOff>11206</xdr:colOff>
      <xdr:row>2</xdr:row>
      <xdr:rowOff>25405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1" y="0"/>
          <a:ext cx="5927911" cy="1493376"/>
        </a:xfrm>
        <a:prstGeom prst="rect">
          <a:avLst/>
        </a:prstGeom>
      </xdr:spPr>
    </xdr:pic>
    <xdr:clientData/>
  </xdr:twoCellAnchor>
  <xdr:twoCellAnchor>
    <xdr:from>
      <xdr:col>1</xdr:col>
      <xdr:colOff>670034</xdr:colOff>
      <xdr:row>1</xdr:row>
      <xdr:rowOff>1031328</xdr:rowOff>
    </xdr:from>
    <xdr:to>
      <xdr:col>1</xdr:col>
      <xdr:colOff>1274379</xdr:colOff>
      <xdr:row>1</xdr:row>
      <xdr:rowOff>1169276</xdr:rowOff>
    </xdr:to>
    <xdr:sp macro="" textlink="">
      <xdr:nvSpPr>
        <xdr:cNvPr id="3" name="Rectangle 2">
          <a:extLst>
            <a:ext uri="{FF2B5EF4-FFF2-40B4-BE49-F238E27FC236}">
              <a16:creationId xmlns:a16="http://schemas.microsoft.com/office/drawing/2014/main" id="{00000000-0008-0000-0300-000003000000}"/>
            </a:ext>
          </a:extLst>
        </xdr:cNvPr>
        <xdr:cNvSpPr/>
      </xdr:nvSpPr>
      <xdr:spPr>
        <a:xfrm>
          <a:off x="886810" y="1031328"/>
          <a:ext cx="604345" cy="137948"/>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NZ"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152400</xdr:colOff>
      <xdr:row>0</xdr:row>
      <xdr:rowOff>152400</xdr:rowOff>
    </xdr:from>
    <xdr:to>
      <xdr:col>4</xdr:col>
      <xdr:colOff>1409700</xdr:colOff>
      <xdr:row>2</xdr:row>
      <xdr:rowOff>85935</xdr:rowOff>
    </xdr:to>
    <xdr:grpSp>
      <xdr:nvGrpSpPr>
        <xdr:cNvPr id="6" name="Group 5">
          <a:extLst>
            <a:ext uri="{FF2B5EF4-FFF2-40B4-BE49-F238E27FC236}">
              <a16:creationId xmlns:a16="http://schemas.microsoft.com/office/drawing/2014/main" id="{019958D7-8FE1-4A4C-B8BE-CAF964FA40C6}"/>
            </a:ext>
          </a:extLst>
        </xdr:cNvPr>
        <xdr:cNvGrpSpPr/>
      </xdr:nvGrpSpPr>
      <xdr:grpSpPr>
        <a:xfrm>
          <a:off x="152400" y="152400"/>
          <a:ext cx="8743950" cy="1943310"/>
          <a:chOff x="0" y="19051"/>
          <a:chExt cx="7677151" cy="1868803"/>
        </a:xfrm>
      </xdr:grpSpPr>
      <xdr:pic>
        <xdr:nvPicPr>
          <xdr:cNvPr id="7" name="Picture 6">
            <a:extLst>
              <a:ext uri="{FF2B5EF4-FFF2-40B4-BE49-F238E27FC236}">
                <a16:creationId xmlns:a16="http://schemas.microsoft.com/office/drawing/2014/main" id="{6B759CD5-0268-BAC8-ECC9-5F1B1FD949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1"/>
            <a:ext cx="7677151" cy="1868803"/>
          </a:xfrm>
          <a:prstGeom prst="rect">
            <a:avLst/>
          </a:prstGeom>
        </xdr:spPr>
      </xdr:pic>
      <xdr:sp macro="" textlink="">
        <xdr:nvSpPr>
          <xdr:cNvPr id="8" name="Rectangle 7">
            <a:extLst>
              <a:ext uri="{FF2B5EF4-FFF2-40B4-BE49-F238E27FC236}">
                <a16:creationId xmlns:a16="http://schemas.microsoft.com/office/drawing/2014/main" id="{B9F85858-AE25-FFD0-4432-1A949B5116D2}"/>
              </a:ext>
            </a:extLst>
          </xdr:cNvPr>
          <xdr:cNvSpPr/>
        </xdr:nvSpPr>
        <xdr:spPr>
          <a:xfrm>
            <a:off x="925830" y="1352550"/>
            <a:ext cx="891540" cy="247650"/>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NZ" sz="1100">
              <a:solidFill>
                <a:sysClr val="windowText" lastClr="000000"/>
              </a:solidFill>
            </a:endParaRPr>
          </a:p>
        </xdr:txBody>
      </xdr:sp>
      <xdr:sp macro="" textlink="">
        <xdr:nvSpPr>
          <xdr:cNvPr id="9" name="TextBox 8">
            <a:extLst>
              <a:ext uri="{FF2B5EF4-FFF2-40B4-BE49-F238E27FC236}">
                <a16:creationId xmlns:a16="http://schemas.microsoft.com/office/drawing/2014/main" id="{FB9F6BF1-BAE3-8CE6-6656-A3D871CB7D02}"/>
              </a:ext>
            </a:extLst>
          </xdr:cNvPr>
          <xdr:cNvSpPr txBox="1"/>
        </xdr:nvSpPr>
        <xdr:spPr>
          <a:xfrm>
            <a:off x="1011544" y="1305309"/>
            <a:ext cx="568997" cy="244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NZ" sz="1050" b="1">
                <a:solidFill>
                  <a:sysClr val="windowText" lastClr="000000"/>
                </a:solidFill>
                <a:latin typeface="+mn-lt"/>
              </a:rPr>
              <a:t>NZv1.1</a:t>
            </a:r>
          </a:p>
        </xdr:txBody>
      </xdr:sp>
    </xdr:grpSp>
    <xdr:clientData/>
  </xdr:twoCellAnchor>
  <xdr:twoCellAnchor editAs="oneCell">
    <xdr:from>
      <xdr:col>0</xdr:col>
      <xdr:colOff>209550</xdr:colOff>
      <xdr:row>0</xdr:row>
      <xdr:rowOff>1418724</xdr:rowOff>
    </xdr:from>
    <xdr:to>
      <xdr:col>1</xdr:col>
      <xdr:colOff>1066800</xdr:colOff>
      <xdr:row>0</xdr:row>
      <xdr:rowOff>1828800</xdr:rowOff>
    </xdr:to>
    <xdr:pic>
      <xdr:nvPicPr>
        <xdr:cNvPr id="2" name="Picture 1" descr="Green Star Buildings - Resilient - Online">
          <a:extLst>
            <a:ext uri="{FF2B5EF4-FFF2-40B4-BE49-F238E27FC236}">
              <a16:creationId xmlns:a16="http://schemas.microsoft.com/office/drawing/2014/main" id="{525F1F9E-2C5B-2D7F-A045-951D9F0F953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9550" y="1418724"/>
          <a:ext cx="1123950" cy="4100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29</xdr:row>
          <xdr:rowOff>175260</xdr:rowOff>
        </xdr:from>
        <xdr:to>
          <xdr:col>5</xdr:col>
          <xdr:colOff>320040</xdr:colOff>
          <xdr:row>29</xdr:row>
          <xdr:rowOff>381000</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0000000-0008-0000-0500-00000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28</xdr:row>
          <xdr:rowOff>182880</xdr:rowOff>
        </xdr:from>
        <xdr:to>
          <xdr:col>5</xdr:col>
          <xdr:colOff>320040</xdr:colOff>
          <xdr:row>28</xdr:row>
          <xdr:rowOff>411480</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00000000-0008-0000-0500-00000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30</xdr:row>
          <xdr:rowOff>175260</xdr:rowOff>
        </xdr:from>
        <xdr:to>
          <xdr:col>5</xdr:col>
          <xdr:colOff>320040</xdr:colOff>
          <xdr:row>30</xdr:row>
          <xdr:rowOff>381000</xdr:rowOff>
        </xdr:to>
        <xdr:sp macro="" textlink="">
          <xdr:nvSpPr>
            <xdr:cNvPr id="44035" name="Check Box 3" hidden="1">
              <a:extLst>
                <a:ext uri="{63B3BB69-23CF-44E3-9099-C40C66FF867C}">
                  <a14:compatExt spid="_x0000_s44035"/>
                </a:ext>
                <a:ext uri="{FF2B5EF4-FFF2-40B4-BE49-F238E27FC236}">
                  <a16:creationId xmlns:a16="http://schemas.microsoft.com/office/drawing/2014/main" id="{00000000-0008-0000-0500-00000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31</xdr:row>
          <xdr:rowOff>175260</xdr:rowOff>
        </xdr:from>
        <xdr:to>
          <xdr:col>5</xdr:col>
          <xdr:colOff>320040</xdr:colOff>
          <xdr:row>31</xdr:row>
          <xdr:rowOff>381000</xdr:rowOff>
        </xdr:to>
        <xdr:sp macro="" textlink="">
          <xdr:nvSpPr>
            <xdr:cNvPr id="44036" name="Check Box 4" hidden="1">
              <a:extLst>
                <a:ext uri="{63B3BB69-23CF-44E3-9099-C40C66FF867C}">
                  <a14:compatExt spid="_x0000_s44036"/>
                </a:ext>
                <a:ext uri="{FF2B5EF4-FFF2-40B4-BE49-F238E27FC236}">
                  <a16:creationId xmlns:a16="http://schemas.microsoft.com/office/drawing/2014/main" id="{00000000-0008-0000-0500-00000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32</xdr:row>
          <xdr:rowOff>175260</xdr:rowOff>
        </xdr:from>
        <xdr:to>
          <xdr:col>5</xdr:col>
          <xdr:colOff>320040</xdr:colOff>
          <xdr:row>32</xdr:row>
          <xdr:rowOff>381000</xdr:rowOff>
        </xdr:to>
        <xdr:sp macro="" textlink="">
          <xdr:nvSpPr>
            <xdr:cNvPr id="44037" name="Check Box 5" hidden="1">
              <a:extLst>
                <a:ext uri="{63B3BB69-23CF-44E3-9099-C40C66FF867C}">
                  <a14:compatExt spid="_x0000_s44037"/>
                </a:ext>
                <a:ext uri="{FF2B5EF4-FFF2-40B4-BE49-F238E27FC236}">
                  <a16:creationId xmlns:a16="http://schemas.microsoft.com/office/drawing/2014/main" id="{00000000-0008-0000-0500-00000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33</xdr:row>
          <xdr:rowOff>175260</xdr:rowOff>
        </xdr:from>
        <xdr:to>
          <xdr:col>5</xdr:col>
          <xdr:colOff>320040</xdr:colOff>
          <xdr:row>33</xdr:row>
          <xdr:rowOff>381000</xdr:rowOff>
        </xdr:to>
        <xdr:sp macro="" textlink="">
          <xdr:nvSpPr>
            <xdr:cNvPr id="44038" name="Check Box 6" hidden="1">
              <a:extLst>
                <a:ext uri="{63B3BB69-23CF-44E3-9099-C40C66FF867C}">
                  <a14:compatExt spid="_x0000_s44038"/>
                </a:ext>
                <a:ext uri="{FF2B5EF4-FFF2-40B4-BE49-F238E27FC236}">
                  <a16:creationId xmlns:a16="http://schemas.microsoft.com/office/drawing/2014/main" id="{00000000-0008-0000-0500-00000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35</xdr:row>
          <xdr:rowOff>175260</xdr:rowOff>
        </xdr:from>
        <xdr:to>
          <xdr:col>5</xdr:col>
          <xdr:colOff>320040</xdr:colOff>
          <xdr:row>35</xdr:row>
          <xdr:rowOff>381000</xdr:rowOff>
        </xdr:to>
        <xdr:sp macro="" textlink="">
          <xdr:nvSpPr>
            <xdr:cNvPr id="44039" name="Check Box 7" hidden="1">
              <a:extLst>
                <a:ext uri="{63B3BB69-23CF-44E3-9099-C40C66FF867C}">
                  <a14:compatExt spid="_x0000_s44039"/>
                </a:ext>
                <a:ext uri="{FF2B5EF4-FFF2-40B4-BE49-F238E27FC236}">
                  <a16:creationId xmlns:a16="http://schemas.microsoft.com/office/drawing/2014/main" id="{00000000-0008-0000-0500-00000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36</xdr:row>
          <xdr:rowOff>175260</xdr:rowOff>
        </xdr:from>
        <xdr:to>
          <xdr:col>5</xdr:col>
          <xdr:colOff>320040</xdr:colOff>
          <xdr:row>36</xdr:row>
          <xdr:rowOff>381000</xdr:rowOff>
        </xdr:to>
        <xdr:sp macro="" textlink="">
          <xdr:nvSpPr>
            <xdr:cNvPr id="44040" name="Check Box 8" hidden="1">
              <a:extLst>
                <a:ext uri="{63B3BB69-23CF-44E3-9099-C40C66FF867C}">
                  <a14:compatExt spid="_x0000_s44040"/>
                </a:ext>
                <a:ext uri="{FF2B5EF4-FFF2-40B4-BE49-F238E27FC236}">
                  <a16:creationId xmlns:a16="http://schemas.microsoft.com/office/drawing/2014/main" id="{00000000-0008-0000-0500-00000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37</xdr:row>
          <xdr:rowOff>175260</xdr:rowOff>
        </xdr:from>
        <xdr:to>
          <xdr:col>5</xdr:col>
          <xdr:colOff>320040</xdr:colOff>
          <xdr:row>37</xdr:row>
          <xdr:rowOff>381000</xdr:rowOff>
        </xdr:to>
        <xdr:sp macro="" textlink="">
          <xdr:nvSpPr>
            <xdr:cNvPr id="44041" name="Check Box 9" hidden="1">
              <a:extLst>
                <a:ext uri="{63B3BB69-23CF-44E3-9099-C40C66FF867C}">
                  <a14:compatExt spid="_x0000_s44041"/>
                </a:ext>
                <a:ext uri="{FF2B5EF4-FFF2-40B4-BE49-F238E27FC236}">
                  <a16:creationId xmlns:a16="http://schemas.microsoft.com/office/drawing/2014/main" id="{00000000-0008-0000-0500-00000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39</xdr:row>
          <xdr:rowOff>175260</xdr:rowOff>
        </xdr:from>
        <xdr:to>
          <xdr:col>5</xdr:col>
          <xdr:colOff>320040</xdr:colOff>
          <xdr:row>39</xdr:row>
          <xdr:rowOff>381000</xdr:rowOff>
        </xdr:to>
        <xdr:sp macro="" textlink="">
          <xdr:nvSpPr>
            <xdr:cNvPr id="44042" name="Check Box 10" hidden="1">
              <a:extLst>
                <a:ext uri="{63B3BB69-23CF-44E3-9099-C40C66FF867C}">
                  <a14:compatExt spid="_x0000_s44042"/>
                </a:ext>
                <a:ext uri="{FF2B5EF4-FFF2-40B4-BE49-F238E27FC236}">
                  <a16:creationId xmlns:a16="http://schemas.microsoft.com/office/drawing/2014/main" id="{00000000-0008-0000-0500-00000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40</xdr:row>
          <xdr:rowOff>175260</xdr:rowOff>
        </xdr:from>
        <xdr:to>
          <xdr:col>5</xdr:col>
          <xdr:colOff>320040</xdr:colOff>
          <xdr:row>40</xdr:row>
          <xdr:rowOff>381000</xdr:rowOff>
        </xdr:to>
        <xdr:sp macro="" textlink="">
          <xdr:nvSpPr>
            <xdr:cNvPr id="44043" name="Check Box 11" hidden="1">
              <a:extLst>
                <a:ext uri="{63B3BB69-23CF-44E3-9099-C40C66FF867C}">
                  <a14:compatExt spid="_x0000_s44043"/>
                </a:ext>
                <a:ext uri="{FF2B5EF4-FFF2-40B4-BE49-F238E27FC236}">
                  <a16:creationId xmlns:a16="http://schemas.microsoft.com/office/drawing/2014/main" id="{00000000-0008-0000-0500-00000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41</xdr:row>
          <xdr:rowOff>175260</xdr:rowOff>
        </xdr:from>
        <xdr:to>
          <xdr:col>5</xdr:col>
          <xdr:colOff>320040</xdr:colOff>
          <xdr:row>41</xdr:row>
          <xdr:rowOff>381000</xdr:rowOff>
        </xdr:to>
        <xdr:sp macro="" textlink="">
          <xdr:nvSpPr>
            <xdr:cNvPr id="44044" name="Check Box 12" hidden="1">
              <a:extLst>
                <a:ext uri="{63B3BB69-23CF-44E3-9099-C40C66FF867C}">
                  <a14:compatExt spid="_x0000_s44044"/>
                </a:ext>
                <a:ext uri="{FF2B5EF4-FFF2-40B4-BE49-F238E27FC236}">
                  <a16:creationId xmlns:a16="http://schemas.microsoft.com/office/drawing/2014/main" id="{00000000-0008-0000-0500-00000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42</xdr:row>
          <xdr:rowOff>175260</xdr:rowOff>
        </xdr:from>
        <xdr:to>
          <xdr:col>5</xdr:col>
          <xdr:colOff>320040</xdr:colOff>
          <xdr:row>42</xdr:row>
          <xdr:rowOff>381000</xdr:rowOff>
        </xdr:to>
        <xdr:sp macro="" textlink="">
          <xdr:nvSpPr>
            <xdr:cNvPr id="44045" name="Check Box 13" hidden="1">
              <a:extLst>
                <a:ext uri="{63B3BB69-23CF-44E3-9099-C40C66FF867C}">
                  <a14:compatExt spid="_x0000_s44045"/>
                </a:ext>
                <a:ext uri="{FF2B5EF4-FFF2-40B4-BE49-F238E27FC236}">
                  <a16:creationId xmlns:a16="http://schemas.microsoft.com/office/drawing/2014/main" id="{00000000-0008-0000-0500-00000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43</xdr:row>
          <xdr:rowOff>175260</xdr:rowOff>
        </xdr:from>
        <xdr:to>
          <xdr:col>5</xdr:col>
          <xdr:colOff>320040</xdr:colOff>
          <xdr:row>43</xdr:row>
          <xdr:rowOff>381000</xdr:rowOff>
        </xdr:to>
        <xdr:sp macro="" textlink="">
          <xdr:nvSpPr>
            <xdr:cNvPr id="44046" name="Check Box 14" hidden="1">
              <a:extLst>
                <a:ext uri="{63B3BB69-23CF-44E3-9099-C40C66FF867C}">
                  <a14:compatExt spid="_x0000_s44046"/>
                </a:ext>
                <a:ext uri="{FF2B5EF4-FFF2-40B4-BE49-F238E27FC236}">
                  <a16:creationId xmlns:a16="http://schemas.microsoft.com/office/drawing/2014/main" id="{00000000-0008-0000-0500-00000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44</xdr:row>
          <xdr:rowOff>175260</xdr:rowOff>
        </xdr:from>
        <xdr:to>
          <xdr:col>5</xdr:col>
          <xdr:colOff>320040</xdr:colOff>
          <xdr:row>44</xdr:row>
          <xdr:rowOff>381000</xdr:rowOff>
        </xdr:to>
        <xdr:sp macro="" textlink="">
          <xdr:nvSpPr>
            <xdr:cNvPr id="44047" name="Check Box 15" hidden="1">
              <a:extLst>
                <a:ext uri="{63B3BB69-23CF-44E3-9099-C40C66FF867C}">
                  <a14:compatExt spid="_x0000_s44047"/>
                </a:ext>
                <a:ext uri="{FF2B5EF4-FFF2-40B4-BE49-F238E27FC236}">
                  <a16:creationId xmlns:a16="http://schemas.microsoft.com/office/drawing/2014/main" id="{00000000-0008-0000-0500-00000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57</xdr:row>
          <xdr:rowOff>175260</xdr:rowOff>
        </xdr:from>
        <xdr:to>
          <xdr:col>5</xdr:col>
          <xdr:colOff>320040</xdr:colOff>
          <xdr:row>57</xdr:row>
          <xdr:rowOff>381000</xdr:rowOff>
        </xdr:to>
        <xdr:sp macro="" textlink="">
          <xdr:nvSpPr>
            <xdr:cNvPr id="44048" name="Check Box 16" hidden="1">
              <a:extLst>
                <a:ext uri="{63B3BB69-23CF-44E3-9099-C40C66FF867C}">
                  <a14:compatExt spid="_x0000_s44048"/>
                </a:ext>
                <a:ext uri="{FF2B5EF4-FFF2-40B4-BE49-F238E27FC236}">
                  <a16:creationId xmlns:a16="http://schemas.microsoft.com/office/drawing/2014/main" id="{00000000-0008-0000-0500-00001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58</xdr:row>
          <xdr:rowOff>175260</xdr:rowOff>
        </xdr:from>
        <xdr:to>
          <xdr:col>5</xdr:col>
          <xdr:colOff>320040</xdr:colOff>
          <xdr:row>58</xdr:row>
          <xdr:rowOff>381000</xdr:rowOff>
        </xdr:to>
        <xdr:sp macro="" textlink="">
          <xdr:nvSpPr>
            <xdr:cNvPr id="44049" name="Check Box 17" hidden="1">
              <a:extLst>
                <a:ext uri="{63B3BB69-23CF-44E3-9099-C40C66FF867C}">
                  <a14:compatExt spid="_x0000_s44049"/>
                </a:ext>
                <a:ext uri="{FF2B5EF4-FFF2-40B4-BE49-F238E27FC236}">
                  <a16:creationId xmlns:a16="http://schemas.microsoft.com/office/drawing/2014/main" id="{00000000-0008-0000-0500-00001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68</xdr:row>
          <xdr:rowOff>175260</xdr:rowOff>
        </xdr:from>
        <xdr:to>
          <xdr:col>5</xdr:col>
          <xdr:colOff>320040</xdr:colOff>
          <xdr:row>68</xdr:row>
          <xdr:rowOff>381000</xdr:rowOff>
        </xdr:to>
        <xdr:sp macro="" textlink="">
          <xdr:nvSpPr>
            <xdr:cNvPr id="44050" name="Check Box 18" hidden="1">
              <a:extLst>
                <a:ext uri="{63B3BB69-23CF-44E3-9099-C40C66FF867C}">
                  <a14:compatExt spid="_x0000_s44050"/>
                </a:ext>
                <a:ext uri="{FF2B5EF4-FFF2-40B4-BE49-F238E27FC236}">
                  <a16:creationId xmlns:a16="http://schemas.microsoft.com/office/drawing/2014/main" id="{00000000-0008-0000-0500-00001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69</xdr:row>
          <xdr:rowOff>175260</xdr:rowOff>
        </xdr:from>
        <xdr:to>
          <xdr:col>5</xdr:col>
          <xdr:colOff>320040</xdr:colOff>
          <xdr:row>69</xdr:row>
          <xdr:rowOff>381000</xdr:rowOff>
        </xdr:to>
        <xdr:sp macro="" textlink="">
          <xdr:nvSpPr>
            <xdr:cNvPr id="44051" name="Check Box 19" hidden="1">
              <a:extLst>
                <a:ext uri="{63B3BB69-23CF-44E3-9099-C40C66FF867C}">
                  <a14:compatExt spid="_x0000_s44051"/>
                </a:ext>
                <a:ext uri="{FF2B5EF4-FFF2-40B4-BE49-F238E27FC236}">
                  <a16:creationId xmlns:a16="http://schemas.microsoft.com/office/drawing/2014/main" id="{00000000-0008-0000-0500-00001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90</xdr:row>
          <xdr:rowOff>175260</xdr:rowOff>
        </xdr:from>
        <xdr:to>
          <xdr:col>5</xdr:col>
          <xdr:colOff>320040</xdr:colOff>
          <xdr:row>90</xdr:row>
          <xdr:rowOff>381000</xdr:rowOff>
        </xdr:to>
        <xdr:sp macro="" textlink="">
          <xdr:nvSpPr>
            <xdr:cNvPr id="44052" name="Check Box 20" hidden="1">
              <a:extLst>
                <a:ext uri="{63B3BB69-23CF-44E3-9099-C40C66FF867C}">
                  <a14:compatExt spid="_x0000_s44052"/>
                </a:ext>
                <a:ext uri="{FF2B5EF4-FFF2-40B4-BE49-F238E27FC236}">
                  <a16:creationId xmlns:a16="http://schemas.microsoft.com/office/drawing/2014/main" id="{00000000-0008-0000-0500-00001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77</xdr:row>
          <xdr:rowOff>175260</xdr:rowOff>
        </xdr:from>
        <xdr:to>
          <xdr:col>5</xdr:col>
          <xdr:colOff>320040</xdr:colOff>
          <xdr:row>77</xdr:row>
          <xdr:rowOff>381000</xdr:rowOff>
        </xdr:to>
        <xdr:sp macro="" textlink="">
          <xdr:nvSpPr>
            <xdr:cNvPr id="44053" name="Check Box 21" hidden="1">
              <a:extLst>
                <a:ext uri="{63B3BB69-23CF-44E3-9099-C40C66FF867C}">
                  <a14:compatExt spid="_x0000_s44053"/>
                </a:ext>
                <a:ext uri="{FF2B5EF4-FFF2-40B4-BE49-F238E27FC236}">
                  <a16:creationId xmlns:a16="http://schemas.microsoft.com/office/drawing/2014/main" id="{00000000-0008-0000-0500-00001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78</xdr:row>
          <xdr:rowOff>175260</xdr:rowOff>
        </xdr:from>
        <xdr:to>
          <xdr:col>5</xdr:col>
          <xdr:colOff>320040</xdr:colOff>
          <xdr:row>78</xdr:row>
          <xdr:rowOff>381000</xdr:rowOff>
        </xdr:to>
        <xdr:sp macro="" textlink="">
          <xdr:nvSpPr>
            <xdr:cNvPr id="44054" name="Check Box 22" hidden="1">
              <a:extLst>
                <a:ext uri="{63B3BB69-23CF-44E3-9099-C40C66FF867C}">
                  <a14:compatExt spid="_x0000_s44054"/>
                </a:ext>
                <a:ext uri="{FF2B5EF4-FFF2-40B4-BE49-F238E27FC236}">
                  <a16:creationId xmlns:a16="http://schemas.microsoft.com/office/drawing/2014/main" id="{00000000-0008-0000-0500-00001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79</xdr:row>
          <xdr:rowOff>175260</xdr:rowOff>
        </xdr:from>
        <xdr:to>
          <xdr:col>5</xdr:col>
          <xdr:colOff>320040</xdr:colOff>
          <xdr:row>79</xdr:row>
          <xdr:rowOff>381000</xdr:rowOff>
        </xdr:to>
        <xdr:sp macro="" textlink="">
          <xdr:nvSpPr>
            <xdr:cNvPr id="44055" name="Check Box 23" hidden="1">
              <a:extLst>
                <a:ext uri="{63B3BB69-23CF-44E3-9099-C40C66FF867C}">
                  <a14:compatExt spid="_x0000_s44055"/>
                </a:ext>
                <a:ext uri="{FF2B5EF4-FFF2-40B4-BE49-F238E27FC236}">
                  <a16:creationId xmlns:a16="http://schemas.microsoft.com/office/drawing/2014/main" id="{00000000-0008-0000-0500-00001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99</xdr:row>
          <xdr:rowOff>175260</xdr:rowOff>
        </xdr:from>
        <xdr:to>
          <xdr:col>5</xdr:col>
          <xdr:colOff>320040</xdr:colOff>
          <xdr:row>99</xdr:row>
          <xdr:rowOff>381000</xdr:rowOff>
        </xdr:to>
        <xdr:sp macro="" textlink="">
          <xdr:nvSpPr>
            <xdr:cNvPr id="44056" name="Check Box 24" hidden="1">
              <a:extLst>
                <a:ext uri="{63B3BB69-23CF-44E3-9099-C40C66FF867C}">
                  <a14:compatExt spid="_x0000_s44056"/>
                </a:ext>
                <a:ext uri="{FF2B5EF4-FFF2-40B4-BE49-F238E27FC236}">
                  <a16:creationId xmlns:a16="http://schemas.microsoft.com/office/drawing/2014/main" id="{00000000-0008-0000-0500-00001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29</xdr:row>
          <xdr:rowOff>175260</xdr:rowOff>
        </xdr:from>
        <xdr:to>
          <xdr:col>5</xdr:col>
          <xdr:colOff>320040</xdr:colOff>
          <xdr:row>29</xdr:row>
          <xdr:rowOff>381000</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06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28</xdr:row>
          <xdr:rowOff>182880</xdr:rowOff>
        </xdr:from>
        <xdr:to>
          <xdr:col>5</xdr:col>
          <xdr:colOff>320040</xdr:colOff>
          <xdr:row>28</xdr:row>
          <xdr:rowOff>411480</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06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30</xdr:row>
          <xdr:rowOff>175260</xdr:rowOff>
        </xdr:from>
        <xdr:to>
          <xdr:col>5</xdr:col>
          <xdr:colOff>320040</xdr:colOff>
          <xdr:row>30</xdr:row>
          <xdr:rowOff>381000</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06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31</xdr:row>
          <xdr:rowOff>175260</xdr:rowOff>
        </xdr:from>
        <xdr:to>
          <xdr:col>5</xdr:col>
          <xdr:colOff>320040</xdr:colOff>
          <xdr:row>31</xdr:row>
          <xdr:rowOff>381000</xdr:rowOff>
        </xdr:to>
        <xdr:sp macro="" textlink="">
          <xdr:nvSpPr>
            <xdr:cNvPr id="47108" name="Check Box 4" hidden="1">
              <a:extLst>
                <a:ext uri="{63B3BB69-23CF-44E3-9099-C40C66FF867C}">
                  <a14:compatExt spid="_x0000_s47108"/>
                </a:ext>
                <a:ext uri="{FF2B5EF4-FFF2-40B4-BE49-F238E27FC236}">
                  <a16:creationId xmlns:a16="http://schemas.microsoft.com/office/drawing/2014/main" id="{00000000-0008-0000-0600-00000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32</xdr:row>
          <xdr:rowOff>175260</xdr:rowOff>
        </xdr:from>
        <xdr:to>
          <xdr:col>5</xdr:col>
          <xdr:colOff>320040</xdr:colOff>
          <xdr:row>32</xdr:row>
          <xdr:rowOff>381000</xdr:rowOff>
        </xdr:to>
        <xdr:sp macro="" textlink="">
          <xdr:nvSpPr>
            <xdr:cNvPr id="47109" name="Check Box 5" hidden="1">
              <a:extLst>
                <a:ext uri="{63B3BB69-23CF-44E3-9099-C40C66FF867C}">
                  <a14:compatExt spid="_x0000_s47109"/>
                </a:ext>
                <a:ext uri="{FF2B5EF4-FFF2-40B4-BE49-F238E27FC236}">
                  <a16:creationId xmlns:a16="http://schemas.microsoft.com/office/drawing/2014/main" id="{00000000-0008-0000-0600-00000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33</xdr:row>
          <xdr:rowOff>175260</xdr:rowOff>
        </xdr:from>
        <xdr:to>
          <xdr:col>5</xdr:col>
          <xdr:colOff>320040</xdr:colOff>
          <xdr:row>33</xdr:row>
          <xdr:rowOff>381000</xdr:rowOff>
        </xdr:to>
        <xdr:sp macro="" textlink="">
          <xdr:nvSpPr>
            <xdr:cNvPr id="47110" name="Check Box 6" hidden="1">
              <a:extLst>
                <a:ext uri="{63B3BB69-23CF-44E3-9099-C40C66FF867C}">
                  <a14:compatExt spid="_x0000_s47110"/>
                </a:ext>
                <a:ext uri="{FF2B5EF4-FFF2-40B4-BE49-F238E27FC236}">
                  <a16:creationId xmlns:a16="http://schemas.microsoft.com/office/drawing/2014/main" id="{00000000-0008-0000-0600-00000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35</xdr:row>
          <xdr:rowOff>175260</xdr:rowOff>
        </xdr:from>
        <xdr:to>
          <xdr:col>5</xdr:col>
          <xdr:colOff>320040</xdr:colOff>
          <xdr:row>35</xdr:row>
          <xdr:rowOff>381000</xdr:rowOff>
        </xdr:to>
        <xdr:sp macro="" textlink="">
          <xdr:nvSpPr>
            <xdr:cNvPr id="47111" name="Check Box 7" hidden="1">
              <a:extLst>
                <a:ext uri="{63B3BB69-23CF-44E3-9099-C40C66FF867C}">
                  <a14:compatExt spid="_x0000_s47111"/>
                </a:ext>
                <a:ext uri="{FF2B5EF4-FFF2-40B4-BE49-F238E27FC236}">
                  <a16:creationId xmlns:a16="http://schemas.microsoft.com/office/drawing/2014/main" id="{00000000-0008-0000-0600-00000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36</xdr:row>
          <xdr:rowOff>175260</xdr:rowOff>
        </xdr:from>
        <xdr:to>
          <xdr:col>5</xdr:col>
          <xdr:colOff>320040</xdr:colOff>
          <xdr:row>36</xdr:row>
          <xdr:rowOff>381000</xdr:rowOff>
        </xdr:to>
        <xdr:sp macro="" textlink="">
          <xdr:nvSpPr>
            <xdr:cNvPr id="47112" name="Check Box 8" hidden="1">
              <a:extLst>
                <a:ext uri="{63B3BB69-23CF-44E3-9099-C40C66FF867C}">
                  <a14:compatExt spid="_x0000_s47112"/>
                </a:ext>
                <a:ext uri="{FF2B5EF4-FFF2-40B4-BE49-F238E27FC236}">
                  <a16:creationId xmlns:a16="http://schemas.microsoft.com/office/drawing/2014/main" id="{00000000-0008-0000-0600-00000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37</xdr:row>
          <xdr:rowOff>175260</xdr:rowOff>
        </xdr:from>
        <xdr:to>
          <xdr:col>5</xdr:col>
          <xdr:colOff>320040</xdr:colOff>
          <xdr:row>37</xdr:row>
          <xdr:rowOff>381000</xdr:rowOff>
        </xdr:to>
        <xdr:sp macro="" textlink="">
          <xdr:nvSpPr>
            <xdr:cNvPr id="47113" name="Check Box 9" hidden="1">
              <a:extLst>
                <a:ext uri="{63B3BB69-23CF-44E3-9099-C40C66FF867C}">
                  <a14:compatExt spid="_x0000_s47113"/>
                </a:ext>
                <a:ext uri="{FF2B5EF4-FFF2-40B4-BE49-F238E27FC236}">
                  <a16:creationId xmlns:a16="http://schemas.microsoft.com/office/drawing/2014/main" id="{00000000-0008-0000-0600-00000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39</xdr:row>
          <xdr:rowOff>175260</xdr:rowOff>
        </xdr:from>
        <xdr:to>
          <xdr:col>5</xdr:col>
          <xdr:colOff>320040</xdr:colOff>
          <xdr:row>39</xdr:row>
          <xdr:rowOff>381000</xdr:rowOff>
        </xdr:to>
        <xdr:sp macro="" textlink="">
          <xdr:nvSpPr>
            <xdr:cNvPr id="47114" name="Check Box 10" hidden="1">
              <a:extLst>
                <a:ext uri="{63B3BB69-23CF-44E3-9099-C40C66FF867C}">
                  <a14:compatExt spid="_x0000_s47114"/>
                </a:ext>
                <a:ext uri="{FF2B5EF4-FFF2-40B4-BE49-F238E27FC236}">
                  <a16:creationId xmlns:a16="http://schemas.microsoft.com/office/drawing/2014/main" id="{00000000-0008-0000-0600-00000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40</xdr:row>
          <xdr:rowOff>175260</xdr:rowOff>
        </xdr:from>
        <xdr:to>
          <xdr:col>5</xdr:col>
          <xdr:colOff>320040</xdr:colOff>
          <xdr:row>40</xdr:row>
          <xdr:rowOff>381000</xdr:rowOff>
        </xdr:to>
        <xdr:sp macro="" textlink="">
          <xdr:nvSpPr>
            <xdr:cNvPr id="47115" name="Check Box 11" hidden="1">
              <a:extLst>
                <a:ext uri="{63B3BB69-23CF-44E3-9099-C40C66FF867C}">
                  <a14:compatExt spid="_x0000_s47115"/>
                </a:ext>
                <a:ext uri="{FF2B5EF4-FFF2-40B4-BE49-F238E27FC236}">
                  <a16:creationId xmlns:a16="http://schemas.microsoft.com/office/drawing/2014/main" id="{00000000-0008-0000-0600-00000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41</xdr:row>
          <xdr:rowOff>175260</xdr:rowOff>
        </xdr:from>
        <xdr:to>
          <xdr:col>5</xdr:col>
          <xdr:colOff>320040</xdr:colOff>
          <xdr:row>41</xdr:row>
          <xdr:rowOff>381000</xdr:rowOff>
        </xdr:to>
        <xdr:sp macro="" textlink="">
          <xdr:nvSpPr>
            <xdr:cNvPr id="47116" name="Check Box 12" hidden="1">
              <a:extLst>
                <a:ext uri="{63B3BB69-23CF-44E3-9099-C40C66FF867C}">
                  <a14:compatExt spid="_x0000_s47116"/>
                </a:ext>
                <a:ext uri="{FF2B5EF4-FFF2-40B4-BE49-F238E27FC236}">
                  <a16:creationId xmlns:a16="http://schemas.microsoft.com/office/drawing/2014/main" id="{00000000-0008-0000-0600-00000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42</xdr:row>
          <xdr:rowOff>175260</xdr:rowOff>
        </xdr:from>
        <xdr:to>
          <xdr:col>5</xdr:col>
          <xdr:colOff>320040</xdr:colOff>
          <xdr:row>42</xdr:row>
          <xdr:rowOff>381000</xdr:rowOff>
        </xdr:to>
        <xdr:sp macro="" textlink="">
          <xdr:nvSpPr>
            <xdr:cNvPr id="47117" name="Check Box 13" hidden="1">
              <a:extLst>
                <a:ext uri="{63B3BB69-23CF-44E3-9099-C40C66FF867C}">
                  <a14:compatExt spid="_x0000_s47117"/>
                </a:ext>
                <a:ext uri="{FF2B5EF4-FFF2-40B4-BE49-F238E27FC236}">
                  <a16:creationId xmlns:a16="http://schemas.microsoft.com/office/drawing/2014/main" id="{00000000-0008-0000-0600-00000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43</xdr:row>
          <xdr:rowOff>175260</xdr:rowOff>
        </xdr:from>
        <xdr:to>
          <xdr:col>5</xdr:col>
          <xdr:colOff>320040</xdr:colOff>
          <xdr:row>43</xdr:row>
          <xdr:rowOff>381000</xdr:rowOff>
        </xdr:to>
        <xdr:sp macro="" textlink="">
          <xdr:nvSpPr>
            <xdr:cNvPr id="47118" name="Check Box 14" hidden="1">
              <a:extLst>
                <a:ext uri="{63B3BB69-23CF-44E3-9099-C40C66FF867C}">
                  <a14:compatExt spid="_x0000_s47118"/>
                </a:ext>
                <a:ext uri="{FF2B5EF4-FFF2-40B4-BE49-F238E27FC236}">
                  <a16:creationId xmlns:a16="http://schemas.microsoft.com/office/drawing/2014/main" id="{00000000-0008-0000-0600-00000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44</xdr:row>
          <xdr:rowOff>175260</xdr:rowOff>
        </xdr:from>
        <xdr:to>
          <xdr:col>5</xdr:col>
          <xdr:colOff>320040</xdr:colOff>
          <xdr:row>44</xdr:row>
          <xdr:rowOff>381000</xdr:rowOff>
        </xdr:to>
        <xdr:sp macro="" textlink="">
          <xdr:nvSpPr>
            <xdr:cNvPr id="47119" name="Check Box 15" hidden="1">
              <a:extLst>
                <a:ext uri="{63B3BB69-23CF-44E3-9099-C40C66FF867C}">
                  <a14:compatExt spid="_x0000_s47119"/>
                </a:ext>
                <a:ext uri="{FF2B5EF4-FFF2-40B4-BE49-F238E27FC236}">
                  <a16:creationId xmlns:a16="http://schemas.microsoft.com/office/drawing/2014/main" id="{00000000-0008-0000-0600-00000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57</xdr:row>
          <xdr:rowOff>175260</xdr:rowOff>
        </xdr:from>
        <xdr:to>
          <xdr:col>5</xdr:col>
          <xdr:colOff>320040</xdr:colOff>
          <xdr:row>57</xdr:row>
          <xdr:rowOff>381000</xdr:rowOff>
        </xdr:to>
        <xdr:sp macro="" textlink="">
          <xdr:nvSpPr>
            <xdr:cNvPr id="47120" name="Check Box 16" hidden="1">
              <a:extLst>
                <a:ext uri="{63B3BB69-23CF-44E3-9099-C40C66FF867C}">
                  <a14:compatExt spid="_x0000_s47120"/>
                </a:ext>
                <a:ext uri="{FF2B5EF4-FFF2-40B4-BE49-F238E27FC236}">
                  <a16:creationId xmlns:a16="http://schemas.microsoft.com/office/drawing/2014/main" id="{00000000-0008-0000-0600-00001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58</xdr:row>
          <xdr:rowOff>175260</xdr:rowOff>
        </xdr:from>
        <xdr:to>
          <xdr:col>5</xdr:col>
          <xdr:colOff>320040</xdr:colOff>
          <xdr:row>58</xdr:row>
          <xdr:rowOff>381000</xdr:rowOff>
        </xdr:to>
        <xdr:sp macro="" textlink="">
          <xdr:nvSpPr>
            <xdr:cNvPr id="47121" name="Check Box 17" hidden="1">
              <a:extLst>
                <a:ext uri="{63B3BB69-23CF-44E3-9099-C40C66FF867C}">
                  <a14:compatExt spid="_x0000_s47121"/>
                </a:ext>
                <a:ext uri="{FF2B5EF4-FFF2-40B4-BE49-F238E27FC236}">
                  <a16:creationId xmlns:a16="http://schemas.microsoft.com/office/drawing/2014/main" id="{00000000-0008-0000-0600-00001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68</xdr:row>
          <xdr:rowOff>175260</xdr:rowOff>
        </xdr:from>
        <xdr:to>
          <xdr:col>5</xdr:col>
          <xdr:colOff>320040</xdr:colOff>
          <xdr:row>68</xdr:row>
          <xdr:rowOff>381000</xdr:rowOff>
        </xdr:to>
        <xdr:sp macro="" textlink="">
          <xdr:nvSpPr>
            <xdr:cNvPr id="47122" name="Check Box 18" hidden="1">
              <a:extLst>
                <a:ext uri="{63B3BB69-23CF-44E3-9099-C40C66FF867C}">
                  <a14:compatExt spid="_x0000_s47122"/>
                </a:ext>
                <a:ext uri="{FF2B5EF4-FFF2-40B4-BE49-F238E27FC236}">
                  <a16:creationId xmlns:a16="http://schemas.microsoft.com/office/drawing/2014/main" id="{00000000-0008-0000-0600-00001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69</xdr:row>
          <xdr:rowOff>175260</xdr:rowOff>
        </xdr:from>
        <xdr:to>
          <xdr:col>5</xdr:col>
          <xdr:colOff>320040</xdr:colOff>
          <xdr:row>69</xdr:row>
          <xdr:rowOff>381000</xdr:rowOff>
        </xdr:to>
        <xdr:sp macro="" textlink="">
          <xdr:nvSpPr>
            <xdr:cNvPr id="47123" name="Check Box 19" hidden="1">
              <a:extLst>
                <a:ext uri="{63B3BB69-23CF-44E3-9099-C40C66FF867C}">
                  <a14:compatExt spid="_x0000_s47123"/>
                </a:ext>
                <a:ext uri="{FF2B5EF4-FFF2-40B4-BE49-F238E27FC236}">
                  <a16:creationId xmlns:a16="http://schemas.microsoft.com/office/drawing/2014/main" id="{00000000-0008-0000-0600-00001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90</xdr:row>
          <xdr:rowOff>175260</xdr:rowOff>
        </xdr:from>
        <xdr:to>
          <xdr:col>5</xdr:col>
          <xdr:colOff>320040</xdr:colOff>
          <xdr:row>90</xdr:row>
          <xdr:rowOff>381000</xdr:rowOff>
        </xdr:to>
        <xdr:sp macro="" textlink="">
          <xdr:nvSpPr>
            <xdr:cNvPr id="47124" name="Check Box 20" hidden="1">
              <a:extLst>
                <a:ext uri="{63B3BB69-23CF-44E3-9099-C40C66FF867C}">
                  <a14:compatExt spid="_x0000_s47124"/>
                </a:ext>
                <a:ext uri="{FF2B5EF4-FFF2-40B4-BE49-F238E27FC236}">
                  <a16:creationId xmlns:a16="http://schemas.microsoft.com/office/drawing/2014/main" id="{00000000-0008-0000-0600-00001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77</xdr:row>
          <xdr:rowOff>175260</xdr:rowOff>
        </xdr:from>
        <xdr:to>
          <xdr:col>5</xdr:col>
          <xdr:colOff>320040</xdr:colOff>
          <xdr:row>77</xdr:row>
          <xdr:rowOff>381000</xdr:rowOff>
        </xdr:to>
        <xdr:sp macro="" textlink="">
          <xdr:nvSpPr>
            <xdr:cNvPr id="47125" name="Check Box 21" hidden="1">
              <a:extLst>
                <a:ext uri="{63B3BB69-23CF-44E3-9099-C40C66FF867C}">
                  <a14:compatExt spid="_x0000_s47125"/>
                </a:ext>
                <a:ext uri="{FF2B5EF4-FFF2-40B4-BE49-F238E27FC236}">
                  <a16:creationId xmlns:a16="http://schemas.microsoft.com/office/drawing/2014/main" id="{00000000-0008-0000-0600-00001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78</xdr:row>
          <xdr:rowOff>175260</xdr:rowOff>
        </xdr:from>
        <xdr:to>
          <xdr:col>5</xdr:col>
          <xdr:colOff>320040</xdr:colOff>
          <xdr:row>78</xdr:row>
          <xdr:rowOff>381000</xdr:rowOff>
        </xdr:to>
        <xdr:sp macro="" textlink="">
          <xdr:nvSpPr>
            <xdr:cNvPr id="47126" name="Check Box 22" hidden="1">
              <a:extLst>
                <a:ext uri="{63B3BB69-23CF-44E3-9099-C40C66FF867C}">
                  <a14:compatExt spid="_x0000_s47126"/>
                </a:ext>
                <a:ext uri="{FF2B5EF4-FFF2-40B4-BE49-F238E27FC236}">
                  <a16:creationId xmlns:a16="http://schemas.microsoft.com/office/drawing/2014/main" id="{00000000-0008-0000-0600-00001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79</xdr:row>
          <xdr:rowOff>175260</xdr:rowOff>
        </xdr:from>
        <xdr:to>
          <xdr:col>5</xdr:col>
          <xdr:colOff>320040</xdr:colOff>
          <xdr:row>79</xdr:row>
          <xdr:rowOff>381000</xdr:rowOff>
        </xdr:to>
        <xdr:sp macro="" textlink="">
          <xdr:nvSpPr>
            <xdr:cNvPr id="47127" name="Check Box 23" hidden="1">
              <a:extLst>
                <a:ext uri="{63B3BB69-23CF-44E3-9099-C40C66FF867C}">
                  <a14:compatExt spid="_x0000_s47127"/>
                </a:ext>
                <a:ext uri="{FF2B5EF4-FFF2-40B4-BE49-F238E27FC236}">
                  <a16:creationId xmlns:a16="http://schemas.microsoft.com/office/drawing/2014/main" id="{00000000-0008-0000-0600-00001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99</xdr:row>
          <xdr:rowOff>175260</xdr:rowOff>
        </xdr:from>
        <xdr:to>
          <xdr:col>5</xdr:col>
          <xdr:colOff>320040</xdr:colOff>
          <xdr:row>99</xdr:row>
          <xdr:rowOff>381000</xdr:rowOff>
        </xdr:to>
        <xdr:sp macro="" textlink="">
          <xdr:nvSpPr>
            <xdr:cNvPr id="47128" name="Check Box 24" hidden="1">
              <a:extLst>
                <a:ext uri="{63B3BB69-23CF-44E3-9099-C40C66FF867C}">
                  <a14:compatExt spid="_x0000_s47128"/>
                </a:ext>
                <a:ext uri="{FF2B5EF4-FFF2-40B4-BE49-F238E27FC236}">
                  <a16:creationId xmlns:a16="http://schemas.microsoft.com/office/drawing/2014/main" id="{00000000-0008-0000-0600-00001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27</xdr:row>
          <xdr:rowOff>175260</xdr:rowOff>
        </xdr:from>
        <xdr:to>
          <xdr:col>5</xdr:col>
          <xdr:colOff>556260</xdr:colOff>
          <xdr:row>27</xdr:row>
          <xdr:rowOff>381000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28</xdr:row>
          <xdr:rowOff>175260</xdr:rowOff>
        </xdr:from>
        <xdr:to>
          <xdr:col>5</xdr:col>
          <xdr:colOff>556260</xdr:colOff>
          <xdr:row>28</xdr:row>
          <xdr:rowOff>381000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7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29</xdr:row>
          <xdr:rowOff>175260</xdr:rowOff>
        </xdr:from>
        <xdr:to>
          <xdr:col>5</xdr:col>
          <xdr:colOff>556260</xdr:colOff>
          <xdr:row>29</xdr:row>
          <xdr:rowOff>381000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7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30</xdr:row>
          <xdr:rowOff>175260</xdr:rowOff>
        </xdr:from>
        <xdr:to>
          <xdr:col>5</xdr:col>
          <xdr:colOff>556260</xdr:colOff>
          <xdr:row>30</xdr:row>
          <xdr:rowOff>381000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7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31</xdr:row>
          <xdr:rowOff>175260</xdr:rowOff>
        </xdr:from>
        <xdr:to>
          <xdr:col>5</xdr:col>
          <xdr:colOff>556260</xdr:colOff>
          <xdr:row>31</xdr:row>
          <xdr:rowOff>381000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7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34</xdr:row>
          <xdr:rowOff>175260</xdr:rowOff>
        </xdr:from>
        <xdr:to>
          <xdr:col>5</xdr:col>
          <xdr:colOff>556260</xdr:colOff>
          <xdr:row>34</xdr:row>
          <xdr:rowOff>381000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7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35</xdr:row>
          <xdr:rowOff>175260</xdr:rowOff>
        </xdr:from>
        <xdr:to>
          <xdr:col>5</xdr:col>
          <xdr:colOff>556260</xdr:colOff>
          <xdr:row>35</xdr:row>
          <xdr:rowOff>381000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7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38</xdr:row>
          <xdr:rowOff>175260</xdr:rowOff>
        </xdr:from>
        <xdr:to>
          <xdr:col>5</xdr:col>
          <xdr:colOff>556260</xdr:colOff>
          <xdr:row>38</xdr:row>
          <xdr:rowOff>381000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7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39</xdr:row>
          <xdr:rowOff>175260</xdr:rowOff>
        </xdr:from>
        <xdr:to>
          <xdr:col>5</xdr:col>
          <xdr:colOff>556260</xdr:colOff>
          <xdr:row>39</xdr:row>
          <xdr:rowOff>381000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7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40</xdr:row>
          <xdr:rowOff>175260</xdr:rowOff>
        </xdr:from>
        <xdr:to>
          <xdr:col>5</xdr:col>
          <xdr:colOff>556260</xdr:colOff>
          <xdr:row>40</xdr:row>
          <xdr:rowOff>381000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7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41</xdr:row>
          <xdr:rowOff>175260</xdr:rowOff>
        </xdr:from>
        <xdr:to>
          <xdr:col>5</xdr:col>
          <xdr:colOff>556260</xdr:colOff>
          <xdr:row>41</xdr:row>
          <xdr:rowOff>381000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7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42</xdr:row>
          <xdr:rowOff>175260</xdr:rowOff>
        </xdr:from>
        <xdr:to>
          <xdr:col>5</xdr:col>
          <xdr:colOff>556260</xdr:colOff>
          <xdr:row>42</xdr:row>
          <xdr:rowOff>381000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7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79</xdr:row>
          <xdr:rowOff>175260</xdr:rowOff>
        </xdr:from>
        <xdr:to>
          <xdr:col>5</xdr:col>
          <xdr:colOff>556260</xdr:colOff>
          <xdr:row>79</xdr:row>
          <xdr:rowOff>381000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7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90</xdr:row>
          <xdr:rowOff>175260</xdr:rowOff>
        </xdr:from>
        <xdr:to>
          <xdr:col>5</xdr:col>
          <xdr:colOff>556260</xdr:colOff>
          <xdr:row>90</xdr:row>
          <xdr:rowOff>381000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7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28</xdr:row>
          <xdr:rowOff>175260</xdr:rowOff>
        </xdr:from>
        <xdr:to>
          <xdr:col>5</xdr:col>
          <xdr:colOff>563880</xdr:colOff>
          <xdr:row>28</xdr:row>
          <xdr:rowOff>381000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7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27</xdr:row>
          <xdr:rowOff>182880</xdr:rowOff>
        </xdr:from>
        <xdr:to>
          <xdr:col>5</xdr:col>
          <xdr:colOff>563880</xdr:colOff>
          <xdr:row>27</xdr:row>
          <xdr:rowOff>396240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7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29</xdr:row>
          <xdr:rowOff>175260</xdr:rowOff>
        </xdr:from>
        <xdr:to>
          <xdr:col>5</xdr:col>
          <xdr:colOff>563880</xdr:colOff>
          <xdr:row>29</xdr:row>
          <xdr:rowOff>381000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7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30</xdr:row>
          <xdr:rowOff>175260</xdr:rowOff>
        </xdr:from>
        <xdr:to>
          <xdr:col>5</xdr:col>
          <xdr:colOff>563880</xdr:colOff>
          <xdr:row>30</xdr:row>
          <xdr:rowOff>381000</xdr:rowOff>
        </xdr:to>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7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31</xdr:row>
          <xdr:rowOff>175260</xdr:rowOff>
        </xdr:from>
        <xdr:to>
          <xdr:col>5</xdr:col>
          <xdr:colOff>563880</xdr:colOff>
          <xdr:row>31</xdr:row>
          <xdr:rowOff>381000</xdr:rowOff>
        </xdr:to>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700-00003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32</xdr:row>
          <xdr:rowOff>175260</xdr:rowOff>
        </xdr:from>
        <xdr:to>
          <xdr:col>5</xdr:col>
          <xdr:colOff>563880</xdr:colOff>
          <xdr:row>32</xdr:row>
          <xdr:rowOff>381000</xdr:rowOff>
        </xdr:to>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700-00003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34</xdr:row>
          <xdr:rowOff>175260</xdr:rowOff>
        </xdr:from>
        <xdr:to>
          <xdr:col>5</xdr:col>
          <xdr:colOff>563880</xdr:colOff>
          <xdr:row>34</xdr:row>
          <xdr:rowOff>381000</xdr:rowOff>
        </xdr:to>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700-00003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35</xdr:row>
          <xdr:rowOff>175260</xdr:rowOff>
        </xdr:from>
        <xdr:to>
          <xdr:col>5</xdr:col>
          <xdr:colOff>563880</xdr:colOff>
          <xdr:row>35</xdr:row>
          <xdr:rowOff>381000</xdr:rowOff>
        </xdr:to>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7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36</xdr:row>
          <xdr:rowOff>175260</xdr:rowOff>
        </xdr:from>
        <xdr:to>
          <xdr:col>5</xdr:col>
          <xdr:colOff>563880</xdr:colOff>
          <xdr:row>36</xdr:row>
          <xdr:rowOff>381000</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7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38</xdr:row>
          <xdr:rowOff>175260</xdr:rowOff>
        </xdr:from>
        <xdr:to>
          <xdr:col>5</xdr:col>
          <xdr:colOff>563880</xdr:colOff>
          <xdr:row>38</xdr:row>
          <xdr:rowOff>381000</xdr:rowOff>
        </xdr:to>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700-00003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39</xdr:row>
          <xdr:rowOff>175260</xdr:rowOff>
        </xdr:from>
        <xdr:to>
          <xdr:col>5</xdr:col>
          <xdr:colOff>563880</xdr:colOff>
          <xdr:row>39</xdr:row>
          <xdr:rowOff>381000</xdr:rowOff>
        </xdr:to>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7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40</xdr:row>
          <xdr:rowOff>175260</xdr:rowOff>
        </xdr:from>
        <xdr:to>
          <xdr:col>5</xdr:col>
          <xdr:colOff>563880</xdr:colOff>
          <xdr:row>40</xdr:row>
          <xdr:rowOff>381000</xdr:rowOff>
        </xdr:to>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700-00003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41</xdr:row>
          <xdr:rowOff>175260</xdr:rowOff>
        </xdr:from>
        <xdr:to>
          <xdr:col>5</xdr:col>
          <xdr:colOff>563880</xdr:colOff>
          <xdr:row>41</xdr:row>
          <xdr:rowOff>381000</xdr:rowOff>
        </xdr:to>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700-00003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42</xdr:row>
          <xdr:rowOff>175260</xdr:rowOff>
        </xdr:from>
        <xdr:to>
          <xdr:col>5</xdr:col>
          <xdr:colOff>563880</xdr:colOff>
          <xdr:row>42</xdr:row>
          <xdr:rowOff>381000</xdr:rowOff>
        </xdr:to>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700-00004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43</xdr:row>
          <xdr:rowOff>175260</xdr:rowOff>
        </xdr:from>
        <xdr:to>
          <xdr:col>5</xdr:col>
          <xdr:colOff>563880</xdr:colOff>
          <xdr:row>43</xdr:row>
          <xdr:rowOff>381000</xdr:rowOff>
        </xdr:to>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700-00004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55</xdr:row>
          <xdr:rowOff>175260</xdr:rowOff>
        </xdr:from>
        <xdr:to>
          <xdr:col>5</xdr:col>
          <xdr:colOff>563880</xdr:colOff>
          <xdr:row>55</xdr:row>
          <xdr:rowOff>381000</xdr:rowOff>
        </xdr:to>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700-00004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56</xdr:row>
          <xdr:rowOff>175260</xdr:rowOff>
        </xdr:from>
        <xdr:to>
          <xdr:col>5</xdr:col>
          <xdr:colOff>563880</xdr:colOff>
          <xdr:row>56</xdr:row>
          <xdr:rowOff>381000</xdr:rowOff>
        </xdr:to>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700-00004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66</xdr:row>
          <xdr:rowOff>175260</xdr:rowOff>
        </xdr:from>
        <xdr:to>
          <xdr:col>5</xdr:col>
          <xdr:colOff>563880</xdr:colOff>
          <xdr:row>66</xdr:row>
          <xdr:rowOff>381000</xdr:rowOff>
        </xdr:to>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700-00004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67</xdr:row>
          <xdr:rowOff>175260</xdr:rowOff>
        </xdr:from>
        <xdr:to>
          <xdr:col>5</xdr:col>
          <xdr:colOff>563880</xdr:colOff>
          <xdr:row>67</xdr:row>
          <xdr:rowOff>381000</xdr:rowOff>
        </xdr:to>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700-00004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90</xdr:row>
          <xdr:rowOff>175260</xdr:rowOff>
        </xdr:from>
        <xdr:to>
          <xdr:col>5</xdr:col>
          <xdr:colOff>563880</xdr:colOff>
          <xdr:row>90</xdr:row>
          <xdr:rowOff>381000</xdr:rowOff>
        </xdr:to>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700-00004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77</xdr:row>
          <xdr:rowOff>175260</xdr:rowOff>
        </xdr:from>
        <xdr:to>
          <xdr:col>5</xdr:col>
          <xdr:colOff>563880</xdr:colOff>
          <xdr:row>77</xdr:row>
          <xdr:rowOff>381000</xdr:rowOff>
        </xdr:to>
        <xdr:sp macro="" textlink="">
          <xdr:nvSpPr>
            <xdr:cNvPr id="10311" name="Check Box 71" hidden="1">
              <a:extLst>
                <a:ext uri="{63B3BB69-23CF-44E3-9099-C40C66FF867C}">
                  <a14:compatExt spid="_x0000_s10311"/>
                </a:ext>
                <a:ext uri="{FF2B5EF4-FFF2-40B4-BE49-F238E27FC236}">
                  <a16:creationId xmlns:a16="http://schemas.microsoft.com/office/drawing/2014/main" id="{00000000-0008-0000-0700-00004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78</xdr:row>
          <xdr:rowOff>175260</xdr:rowOff>
        </xdr:from>
        <xdr:to>
          <xdr:col>5</xdr:col>
          <xdr:colOff>563880</xdr:colOff>
          <xdr:row>78</xdr:row>
          <xdr:rowOff>381000</xdr:rowOff>
        </xdr:to>
        <xdr:sp macro="" textlink="">
          <xdr:nvSpPr>
            <xdr:cNvPr id="10312" name="Check Box 72" hidden="1">
              <a:extLst>
                <a:ext uri="{63B3BB69-23CF-44E3-9099-C40C66FF867C}">
                  <a14:compatExt spid="_x0000_s10312"/>
                </a:ext>
                <a:ext uri="{FF2B5EF4-FFF2-40B4-BE49-F238E27FC236}">
                  <a16:creationId xmlns:a16="http://schemas.microsoft.com/office/drawing/2014/main" id="{00000000-0008-0000-0700-00004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79</xdr:row>
          <xdr:rowOff>175260</xdr:rowOff>
        </xdr:from>
        <xdr:to>
          <xdr:col>5</xdr:col>
          <xdr:colOff>563880</xdr:colOff>
          <xdr:row>79</xdr:row>
          <xdr:rowOff>381000</xdr:rowOff>
        </xdr:to>
        <xdr:sp macro="" textlink="">
          <xdr:nvSpPr>
            <xdr:cNvPr id="10313" name="Check Box 73" hidden="1">
              <a:extLst>
                <a:ext uri="{63B3BB69-23CF-44E3-9099-C40C66FF867C}">
                  <a14:compatExt spid="_x0000_s10313"/>
                </a:ext>
                <a:ext uri="{FF2B5EF4-FFF2-40B4-BE49-F238E27FC236}">
                  <a16:creationId xmlns:a16="http://schemas.microsoft.com/office/drawing/2014/main" id="{00000000-0008-0000-0700-00004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27</xdr:row>
          <xdr:rowOff>175260</xdr:rowOff>
        </xdr:from>
        <xdr:to>
          <xdr:col>5</xdr:col>
          <xdr:colOff>563880</xdr:colOff>
          <xdr:row>27</xdr:row>
          <xdr:rowOff>381000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8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26</xdr:row>
          <xdr:rowOff>182880</xdr:rowOff>
        </xdr:from>
        <xdr:to>
          <xdr:col>5</xdr:col>
          <xdr:colOff>563880</xdr:colOff>
          <xdr:row>26</xdr:row>
          <xdr:rowOff>396240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8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28</xdr:row>
          <xdr:rowOff>175260</xdr:rowOff>
        </xdr:from>
        <xdr:to>
          <xdr:col>5</xdr:col>
          <xdr:colOff>563880</xdr:colOff>
          <xdr:row>28</xdr:row>
          <xdr:rowOff>381000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8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29</xdr:row>
          <xdr:rowOff>175260</xdr:rowOff>
        </xdr:from>
        <xdr:to>
          <xdr:col>5</xdr:col>
          <xdr:colOff>563880</xdr:colOff>
          <xdr:row>29</xdr:row>
          <xdr:rowOff>381000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8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30</xdr:row>
          <xdr:rowOff>175260</xdr:rowOff>
        </xdr:from>
        <xdr:to>
          <xdr:col>5</xdr:col>
          <xdr:colOff>563880</xdr:colOff>
          <xdr:row>30</xdr:row>
          <xdr:rowOff>381000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8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31</xdr:row>
          <xdr:rowOff>175260</xdr:rowOff>
        </xdr:from>
        <xdr:to>
          <xdr:col>5</xdr:col>
          <xdr:colOff>563880</xdr:colOff>
          <xdr:row>31</xdr:row>
          <xdr:rowOff>381000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8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33</xdr:row>
          <xdr:rowOff>175260</xdr:rowOff>
        </xdr:from>
        <xdr:to>
          <xdr:col>5</xdr:col>
          <xdr:colOff>563880</xdr:colOff>
          <xdr:row>33</xdr:row>
          <xdr:rowOff>381000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8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34</xdr:row>
          <xdr:rowOff>175260</xdr:rowOff>
        </xdr:from>
        <xdr:to>
          <xdr:col>5</xdr:col>
          <xdr:colOff>563880</xdr:colOff>
          <xdr:row>34</xdr:row>
          <xdr:rowOff>381000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8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35</xdr:row>
          <xdr:rowOff>175260</xdr:rowOff>
        </xdr:from>
        <xdr:to>
          <xdr:col>5</xdr:col>
          <xdr:colOff>563880</xdr:colOff>
          <xdr:row>35</xdr:row>
          <xdr:rowOff>381000</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8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37</xdr:row>
          <xdr:rowOff>175260</xdr:rowOff>
        </xdr:from>
        <xdr:to>
          <xdr:col>5</xdr:col>
          <xdr:colOff>563880</xdr:colOff>
          <xdr:row>37</xdr:row>
          <xdr:rowOff>381000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8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38</xdr:row>
          <xdr:rowOff>175260</xdr:rowOff>
        </xdr:from>
        <xdr:to>
          <xdr:col>5</xdr:col>
          <xdr:colOff>563880</xdr:colOff>
          <xdr:row>38</xdr:row>
          <xdr:rowOff>381000</xdr:rowOff>
        </xdr:to>
        <xdr:sp macro="" textlink="">
          <xdr:nvSpPr>
            <xdr:cNvPr id="22539" name="Check Box 11" hidden="1">
              <a:extLst>
                <a:ext uri="{63B3BB69-23CF-44E3-9099-C40C66FF867C}">
                  <a14:compatExt spid="_x0000_s22539"/>
                </a:ext>
                <a:ext uri="{FF2B5EF4-FFF2-40B4-BE49-F238E27FC236}">
                  <a16:creationId xmlns:a16="http://schemas.microsoft.com/office/drawing/2014/main" id="{00000000-0008-0000-0800-00000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39</xdr:row>
          <xdr:rowOff>175260</xdr:rowOff>
        </xdr:from>
        <xdr:to>
          <xdr:col>5</xdr:col>
          <xdr:colOff>563880</xdr:colOff>
          <xdr:row>39</xdr:row>
          <xdr:rowOff>381000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8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40</xdr:row>
          <xdr:rowOff>175260</xdr:rowOff>
        </xdr:from>
        <xdr:to>
          <xdr:col>5</xdr:col>
          <xdr:colOff>563880</xdr:colOff>
          <xdr:row>40</xdr:row>
          <xdr:rowOff>381000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800-00000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41</xdr:row>
          <xdr:rowOff>175260</xdr:rowOff>
        </xdr:from>
        <xdr:to>
          <xdr:col>5</xdr:col>
          <xdr:colOff>563880</xdr:colOff>
          <xdr:row>41</xdr:row>
          <xdr:rowOff>381000</xdr:rowOff>
        </xdr:to>
        <xdr:sp macro="" textlink="">
          <xdr:nvSpPr>
            <xdr:cNvPr id="22542" name="Check Box 14" hidden="1">
              <a:extLst>
                <a:ext uri="{63B3BB69-23CF-44E3-9099-C40C66FF867C}">
                  <a14:compatExt spid="_x0000_s22542"/>
                </a:ext>
                <a:ext uri="{FF2B5EF4-FFF2-40B4-BE49-F238E27FC236}">
                  <a16:creationId xmlns:a16="http://schemas.microsoft.com/office/drawing/2014/main" id="{00000000-0008-0000-08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42</xdr:row>
          <xdr:rowOff>175260</xdr:rowOff>
        </xdr:from>
        <xdr:to>
          <xdr:col>5</xdr:col>
          <xdr:colOff>563880</xdr:colOff>
          <xdr:row>42</xdr:row>
          <xdr:rowOff>381000</xdr:rowOff>
        </xdr:to>
        <xdr:sp macro="" textlink="">
          <xdr:nvSpPr>
            <xdr:cNvPr id="22543" name="Check Box 15" hidden="1">
              <a:extLst>
                <a:ext uri="{63B3BB69-23CF-44E3-9099-C40C66FF867C}">
                  <a14:compatExt spid="_x0000_s22543"/>
                </a:ext>
                <a:ext uri="{FF2B5EF4-FFF2-40B4-BE49-F238E27FC236}">
                  <a16:creationId xmlns:a16="http://schemas.microsoft.com/office/drawing/2014/main" id="{00000000-0008-0000-0800-00000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68</xdr:row>
          <xdr:rowOff>175260</xdr:rowOff>
        </xdr:from>
        <xdr:to>
          <xdr:col>5</xdr:col>
          <xdr:colOff>563880</xdr:colOff>
          <xdr:row>68</xdr:row>
          <xdr:rowOff>381000</xdr:rowOff>
        </xdr:to>
        <xdr:sp macro="" textlink="">
          <xdr:nvSpPr>
            <xdr:cNvPr id="22544" name="Check Box 16" hidden="1">
              <a:extLst>
                <a:ext uri="{63B3BB69-23CF-44E3-9099-C40C66FF867C}">
                  <a14:compatExt spid="_x0000_s22544"/>
                </a:ext>
                <a:ext uri="{FF2B5EF4-FFF2-40B4-BE49-F238E27FC236}">
                  <a16:creationId xmlns:a16="http://schemas.microsoft.com/office/drawing/2014/main" id="{00000000-0008-0000-0800-00001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69</xdr:row>
          <xdr:rowOff>175260</xdr:rowOff>
        </xdr:from>
        <xdr:to>
          <xdr:col>5</xdr:col>
          <xdr:colOff>563880</xdr:colOff>
          <xdr:row>69</xdr:row>
          <xdr:rowOff>381000</xdr:rowOff>
        </xdr:to>
        <xdr:sp macro="" textlink="">
          <xdr:nvSpPr>
            <xdr:cNvPr id="22545" name="Check Box 17" hidden="1">
              <a:extLst>
                <a:ext uri="{63B3BB69-23CF-44E3-9099-C40C66FF867C}">
                  <a14:compatExt spid="_x0000_s22545"/>
                </a:ext>
                <a:ext uri="{FF2B5EF4-FFF2-40B4-BE49-F238E27FC236}">
                  <a16:creationId xmlns:a16="http://schemas.microsoft.com/office/drawing/2014/main" id="{00000000-0008-0000-0800-00001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79</xdr:row>
          <xdr:rowOff>175260</xdr:rowOff>
        </xdr:from>
        <xdr:to>
          <xdr:col>5</xdr:col>
          <xdr:colOff>563880</xdr:colOff>
          <xdr:row>79</xdr:row>
          <xdr:rowOff>381000</xdr:rowOff>
        </xdr:to>
        <xdr:sp macro="" textlink="">
          <xdr:nvSpPr>
            <xdr:cNvPr id="22546" name="Check Box 18" hidden="1">
              <a:extLst>
                <a:ext uri="{63B3BB69-23CF-44E3-9099-C40C66FF867C}">
                  <a14:compatExt spid="_x0000_s22546"/>
                </a:ext>
                <a:ext uri="{FF2B5EF4-FFF2-40B4-BE49-F238E27FC236}">
                  <a16:creationId xmlns:a16="http://schemas.microsoft.com/office/drawing/2014/main" id="{00000000-0008-0000-0800-00001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80</xdr:row>
          <xdr:rowOff>175260</xdr:rowOff>
        </xdr:from>
        <xdr:to>
          <xdr:col>5</xdr:col>
          <xdr:colOff>563880</xdr:colOff>
          <xdr:row>80</xdr:row>
          <xdr:rowOff>381000</xdr:rowOff>
        </xdr:to>
        <xdr:sp macro="" textlink="">
          <xdr:nvSpPr>
            <xdr:cNvPr id="22547" name="Check Box 19" hidden="1">
              <a:extLst>
                <a:ext uri="{63B3BB69-23CF-44E3-9099-C40C66FF867C}">
                  <a14:compatExt spid="_x0000_s22547"/>
                </a:ext>
                <a:ext uri="{FF2B5EF4-FFF2-40B4-BE49-F238E27FC236}">
                  <a16:creationId xmlns:a16="http://schemas.microsoft.com/office/drawing/2014/main" id="{00000000-0008-0000-0800-00001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102</xdr:row>
          <xdr:rowOff>175260</xdr:rowOff>
        </xdr:from>
        <xdr:to>
          <xdr:col>5</xdr:col>
          <xdr:colOff>563880</xdr:colOff>
          <xdr:row>102</xdr:row>
          <xdr:rowOff>381000</xdr:rowOff>
        </xdr:to>
        <xdr:sp macro="" textlink="">
          <xdr:nvSpPr>
            <xdr:cNvPr id="22548" name="Check Box 20" hidden="1">
              <a:extLst>
                <a:ext uri="{63B3BB69-23CF-44E3-9099-C40C66FF867C}">
                  <a14:compatExt spid="_x0000_s22548"/>
                </a:ext>
                <a:ext uri="{FF2B5EF4-FFF2-40B4-BE49-F238E27FC236}">
                  <a16:creationId xmlns:a16="http://schemas.microsoft.com/office/drawing/2014/main" id="{00000000-0008-0000-0800-00001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89</xdr:row>
          <xdr:rowOff>175260</xdr:rowOff>
        </xdr:from>
        <xdr:to>
          <xdr:col>5</xdr:col>
          <xdr:colOff>563880</xdr:colOff>
          <xdr:row>89</xdr:row>
          <xdr:rowOff>381000</xdr:rowOff>
        </xdr:to>
        <xdr:sp macro="" textlink="">
          <xdr:nvSpPr>
            <xdr:cNvPr id="22549" name="Check Box 21" hidden="1">
              <a:extLst>
                <a:ext uri="{63B3BB69-23CF-44E3-9099-C40C66FF867C}">
                  <a14:compatExt spid="_x0000_s22549"/>
                </a:ext>
                <a:ext uri="{FF2B5EF4-FFF2-40B4-BE49-F238E27FC236}">
                  <a16:creationId xmlns:a16="http://schemas.microsoft.com/office/drawing/2014/main" id="{00000000-0008-0000-0800-00001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90</xdr:row>
          <xdr:rowOff>175260</xdr:rowOff>
        </xdr:from>
        <xdr:to>
          <xdr:col>5</xdr:col>
          <xdr:colOff>563880</xdr:colOff>
          <xdr:row>90</xdr:row>
          <xdr:rowOff>381000</xdr:rowOff>
        </xdr:to>
        <xdr:sp macro="" textlink="">
          <xdr:nvSpPr>
            <xdr:cNvPr id="22550" name="Check Box 22" hidden="1">
              <a:extLst>
                <a:ext uri="{63B3BB69-23CF-44E3-9099-C40C66FF867C}">
                  <a14:compatExt spid="_x0000_s22550"/>
                </a:ext>
                <a:ext uri="{FF2B5EF4-FFF2-40B4-BE49-F238E27FC236}">
                  <a16:creationId xmlns:a16="http://schemas.microsoft.com/office/drawing/2014/main" id="{00000000-0008-0000-0800-00001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91</xdr:row>
          <xdr:rowOff>175260</xdr:rowOff>
        </xdr:from>
        <xdr:to>
          <xdr:col>5</xdr:col>
          <xdr:colOff>563880</xdr:colOff>
          <xdr:row>91</xdr:row>
          <xdr:rowOff>381000</xdr:rowOff>
        </xdr:to>
        <xdr:sp macro="" textlink="">
          <xdr:nvSpPr>
            <xdr:cNvPr id="22551" name="Check Box 23" hidden="1">
              <a:extLst>
                <a:ext uri="{63B3BB69-23CF-44E3-9099-C40C66FF867C}">
                  <a14:compatExt spid="_x0000_s22551"/>
                </a:ext>
                <a:ext uri="{FF2B5EF4-FFF2-40B4-BE49-F238E27FC236}">
                  <a16:creationId xmlns:a16="http://schemas.microsoft.com/office/drawing/2014/main" id="{00000000-0008-0000-0800-00001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Access%20by%20Public%20Transport%20Calculator_Release%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yd-data\greenstar\jchapa\Desktop\Green%20Star-%20Multi%20Unit%20Residential%20v1%20(Master).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Green%20Star%20-%20Calculators%20Mixed%20use%20unlocked%20revised.xls?DD0D3A73" TargetMode="External"/><Relationship Id="rId1" Type="http://schemas.openxmlformats.org/officeDocument/2006/relationships/externalLinkPath" Target="file:///\\DD0D3A73\Green%20Star%20-%20Calculators%20Mixed%20use%20unlocked%20revis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yd-data\greenstar\Green%20Star%20-%20Office%20As%20Built\Version%202\Excel%20Tool\Green%20Star%20-%20Office%20As%20Built%20v2%20WI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atch"/>
      <sheetName val="Disclaimer"/>
      <sheetName val="Change Log"/>
      <sheetName val="Inputs"/>
      <sheetName val="Outputs"/>
      <sheetName val="Pop"/>
      <sheetName val="Step by Step Master"/>
      <sheetName val="Victorian"/>
      <sheetName val="geoCodingParameters"/>
      <sheetName val="Step by Step Parameters"/>
      <sheetName val="Step by Step Join"/>
      <sheetName val="API cObject names"/>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een Star"/>
      <sheetName val="Introduction"/>
      <sheetName val="How to Use"/>
      <sheetName val="Disclaimer"/>
      <sheetName val="Building Input"/>
      <sheetName val="Management"/>
      <sheetName val="IEQ"/>
      <sheetName val="Energy"/>
      <sheetName val="Ene-Con Calculator"/>
      <sheetName val="GHG Emissions Calculator"/>
      <sheetName val="Transport"/>
      <sheetName val="Mass Transport Calculator"/>
      <sheetName val="Water"/>
      <sheetName val="Potable Water Calculator"/>
      <sheetName val="Materials"/>
      <sheetName val="Flooring Calculator"/>
      <sheetName val="Joinery Calculator"/>
      <sheetName val="Internal Walls Calculator"/>
      <sheetName val="Land Use &amp; Ecology"/>
      <sheetName val="Ecology Calculator"/>
      <sheetName val="Emissions"/>
      <sheetName val="Sewage Calculator"/>
      <sheetName val="Innovation"/>
      <sheetName val="Credit Summary"/>
      <sheetName val="Graphical Summary"/>
      <sheetName val="Changelog"/>
      <sheetName val="Changelog_internal"/>
      <sheetName val="Calculation hidden"/>
      <sheetName val="Green Star- Multi Unit Resident"/>
      <sheetName val="Sheet1"/>
      <sheetName val="hidd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een Star"/>
      <sheetName val="Introduction"/>
      <sheetName val="Disclaimer"/>
      <sheetName val="Building Input"/>
      <sheetName val="Summary"/>
      <sheetName val="Residential Ene-Con Calculator"/>
      <sheetName val="Residential Ene-1 Calculator"/>
      <sheetName val="GHG Emissions Calculator"/>
      <sheetName val="Potable Water Calculator"/>
      <sheetName val="Mass Transport Calculator"/>
      <sheetName val="Sewage Calculator"/>
      <sheetName val="Flooring Calculator"/>
      <sheetName val="Assemblies Calculator"/>
      <sheetName val="Furniture Calculator"/>
      <sheetName val="Ecology Calculator"/>
      <sheetName val="Calculation hidden"/>
      <sheetName val="Impact Categories Calculator"/>
      <sheetName val="hidden"/>
      <sheetName val="Changelo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een Star"/>
      <sheetName val="Introduction"/>
      <sheetName val="How to Use"/>
      <sheetName val="Disclaimer"/>
      <sheetName val="Building Input"/>
      <sheetName val="Management"/>
      <sheetName val="IEQ"/>
      <sheetName val="Energy"/>
      <sheetName val="Transport"/>
      <sheetName val="Transport Calculator"/>
      <sheetName val="Water"/>
      <sheetName val="Water Calculator"/>
      <sheetName val="Materials"/>
      <sheetName val="Land Use &amp; Ecology"/>
      <sheetName val="Ecology Calculator"/>
      <sheetName val="Emissions"/>
      <sheetName val="Sewerage Calculator"/>
      <sheetName val="Innovation"/>
      <sheetName val="Credit Summary"/>
      <sheetName val="Graphical Summary"/>
      <sheetName val="Calcul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Green Star Design &amp; As Built">
  <a:themeElements>
    <a:clrScheme name="Design &amp; As Built">
      <a:dk1>
        <a:srgbClr val="3F4450"/>
      </a:dk1>
      <a:lt1>
        <a:srgbClr val="FFFFFF"/>
      </a:lt1>
      <a:dk2>
        <a:srgbClr val="1E3863"/>
      </a:dk2>
      <a:lt2>
        <a:srgbClr val="FFFFFF"/>
      </a:lt2>
      <a:accent1>
        <a:srgbClr val="1E3863"/>
      </a:accent1>
      <a:accent2>
        <a:srgbClr val="455277"/>
      </a:accent2>
      <a:accent3>
        <a:srgbClr val="8F9CB1"/>
      </a:accent3>
      <a:accent4>
        <a:srgbClr val="3F4450"/>
      </a:accent4>
      <a:accent5>
        <a:srgbClr val="9EA1A6"/>
      </a:accent5>
      <a:accent6>
        <a:srgbClr val="C4C6C9"/>
      </a:accent6>
      <a:hlink>
        <a:srgbClr val="1E3863"/>
      </a:hlink>
      <a:folHlink>
        <a:srgbClr val="C5C7CA"/>
      </a:folHlink>
    </a:clrScheme>
    <a:fontScheme name="Green Star Corporate">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6.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9.xml"/><Relationship Id="rId13" Type="http://schemas.openxmlformats.org/officeDocument/2006/relationships/ctrlProp" Target="../ctrlProps/ctrlProp34.xml"/><Relationship Id="rId18" Type="http://schemas.openxmlformats.org/officeDocument/2006/relationships/ctrlProp" Target="../ctrlProps/ctrlProp39.xml"/><Relationship Id="rId26" Type="http://schemas.openxmlformats.org/officeDocument/2006/relationships/ctrlProp" Target="../ctrlProps/ctrlProp47.xml"/><Relationship Id="rId3" Type="http://schemas.openxmlformats.org/officeDocument/2006/relationships/vmlDrawing" Target="../drawings/vmlDrawing2.vml"/><Relationship Id="rId21" Type="http://schemas.openxmlformats.org/officeDocument/2006/relationships/ctrlProp" Target="../ctrlProps/ctrlProp42.xml"/><Relationship Id="rId7" Type="http://schemas.openxmlformats.org/officeDocument/2006/relationships/ctrlProp" Target="../ctrlProps/ctrlProp28.xml"/><Relationship Id="rId12" Type="http://schemas.openxmlformats.org/officeDocument/2006/relationships/ctrlProp" Target="../ctrlProps/ctrlProp33.xml"/><Relationship Id="rId17" Type="http://schemas.openxmlformats.org/officeDocument/2006/relationships/ctrlProp" Target="../ctrlProps/ctrlProp38.xml"/><Relationship Id="rId25" Type="http://schemas.openxmlformats.org/officeDocument/2006/relationships/ctrlProp" Target="../ctrlProps/ctrlProp46.xml"/><Relationship Id="rId2" Type="http://schemas.openxmlformats.org/officeDocument/2006/relationships/drawing" Target="../drawings/drawing7.xml"/><Relationship Id="rId16" Type="http://schemas.openxmlformats.org/officeDocument/2006/relationships/ctrlProp" Target="../ctrlProps/ctrlProp37.xml"/><Relationship Id="rId20" Type="http://schemas.openxmlformats.org/officeDocument/2006/relationships/ctrlProp" Target="../ctrlProps/ctrlProp41.xml"/><Relationship Id="rId1" Type="http://schemas.openxmlformats.org/officeDocument/2006/relationships/printerSettings" Target="../printerSettings/printerSettings6.bin"/><Relationship Id="rId6" Type="http://schemas.openxmlformats.org/officeDocument/2006/relationships/ctrlProp" Target="../ctrlProps/ctrlProp27.xml"/><Relationship Id="rId11" Type="http://schemas.openxmlformats.org/officeDocument/2006/relationships/ctrlProp" Target="../ctrlProps/ctrlProp32.xml"/><Relationship Id="rId24" Type="http://schemas.openxmlformats.org/officeDocument/2006/relationships/ctrlProp" Target="../ctrlProps/ctrlProp45.xml"/><Relationship Id="rId5" Type="http://schemas.openxmlformats.org/officeDocument/2006/relationships/ctrlProp" Target="../ctrlProps/ctrlProp26.xml"/><Relationship Id="rId15" Type="http://schemas.openxmlformats.org/officeDocument/2006/relationships/ctrlProp" Target="../ctrlProps/ctrlProp36.xml"/><Relationship Id="rId23" Type="http://schemas.openxmlformats.org/officeDocument/2006/relationships/ctrlProp" Target="../ctrlProps/ctrlProp44.xml"/><Relationship Id="rId28" Type="http://schemas.openxmlformats.org/officeDocument/2006/relationships/comments" Target="../comments2.xml"/><Relationship Id="rId10" Type="http://schemas.openxmlformats.org/officeDocument/2006/relationships/ctrlProp" Target="../ctrlProps/ctrlProp31.xml"/><Relationship Id="rId19" Type="http://schemas.openxmlformats.org/officeDocument/2006/relationships/ctrlProp" Target="../ctrlProps/ctrlProp40.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trlProp" Target="../ctrlProps/ctrlProp35.xml"/><Relationship Id="rId22" Type="http://schemas.openxmlformats.org/officeDocument/2006/relationships/ctrlProp" Target="../ctrlProps/ctrlProp43.xml"/><Relationship Id="rId27" Type="http://schemas.openxmlformats.org/officeDocument/2006/relationships/ctrlProp" Target="../ctrlProps/ctrlProp48.x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58.xml"/><Relationship Id="rId18" Type="http://schemas.openxmlformats.org/officeDocument/2006/relationships/ctrlProp" Target="../ctrlProps/ctrlProp63.xml"/><Relationship Id="rId26" Type="http://schemas.openxmlformats.org/officeDocument/2006/relationships/ctrlProp" Target="../ctrlProps/ctrlProp71.xml"/><Relationship Id="rId39" Type="http://schemas.openxmlformats.org/officeDocument/2006/relationships/ctrlProp" Target="../ctrlProps/ctrlProp84.xml"/><Relationship Id="rId21" Type="http://schemas.openxmlformats.org/officeDocument/2006/relationships/ctrlProp" Target="../ctrlProps/ctrlProp66.xml"/><Relationship Id="rId34" Type="http://schemas.openxmlformats.org/officeDocument/2006/relationships/ctrlProp" Target="../ctrlProps/ctrlProp79.xml"/><Relationship Id="rId7" Type="http://schemas.openxmlformats.org/officeDocument/2006/relationships/ctrlProp" Target="../ctrlProps/ctrlProp52.xml"/><Relationship Id="rId2" Type="http://schemas.openxmlformats.org/officeDocument/2006/relationships/drawing" Target="../drawings/drawing8.xml"/><Relationship Id="rId16" Type="http://schemas.openxmlformats.org/officeDocument/2006/relationships/ctrlProp" Target="../ctrlProps/ctrlProp61.xml"/><Relationship Id="rId20" Type="http://schemas.openxmlformats.org/officeDocument/2006/relationships/ctrlProp" Target="../ctrlProps/ctrlProp65.xml"/><Relationship Id="rId29" Type="http://schemas.openxmlformats.org/officeDocument/2006/relationships/ctrlProp" Target="../ctrlProps/ctrlProp74.xml"/><Relationship Id="rId41" Type="http://schemas.openxmlformats.org/officeDocument/2006/relationships/comments" Target="../comments3.xml"/><Relationship Id="rId1" Type="http://schemas.openxmlformats.org/officeDocument/2006/relationships/printerSettings" Target="../printerSettings/printerSettings7.bin"/><Relationship Id="rId6" Type="http://schemas.openxmlformats.org/officeDocument/2006/relationships/ctrlProp" Target="../ctrlProps/ctrlProp51.xml"/><Relationship Id="rId11" Type="http://schemas.openxmlformats.org/officeDocument/2006/relationships/ctrlProp" Target="../ctrlProps/ctrlProp56.xml"/><Relationship Id="rId24" Type="http://schemas.openxmlformats.org/officeDocument/2006/relationships/ctrlProp" Target="../ctrlProps/ctrlProp69.xml"/><Relationship Id="rId32" Type="http://schemas.openxmlformats.org/officeDocument/2006/relationships/ctrlProp" Target="../ctrlProps/ctrlProp77.xml"/><Relationship Id="rId37" Type="http://schemas.openxmlformats.org/officeDocument/2006/relationships/ctrlProp" Target="../ctrlProps/ctrlProp82.xml"/><Relationship Id="rId40" Type="http://schemas.openxmlformats.org/officeDocument/2006/relationships/ctrlProp" Target="../ctrlProps/ctrlProp85.xml"/><Relationship Id="rId5" Type="http://schemas.openxmlformats.org/officeDocument/2006/relationships/ctrlProp" Target="../ctrlProps/ctrlProp50.xml"/><Relationship Id="rId15" Type="http://schemas.openxmlformats.org/officeDocument/2006/relationships/ctrlProp" Target="../ctrlProps/ctrlProp60.xml"/><Relationship Id="rId23" Type="http://schemas.openxmlformats.org/officeDocument/2006/relationships/ctrlProp" Target="../ctrlProps/ctrlProp68.xml"/><Relationship Id="rId28" Type="http://schemas.openxmlformats.org/officeDocument/2006/relationships/ctrlProp" Target="../ctrlProps/ctrlProp73.xml"/><Relationship Id="rId36" Type="http://schemas.openxmlformats.org/officeDocument/2006/relationships/ctrlProp" Target="../ctrlProps/ctrlProp81.xml"/><Relationship Id="rId10" Type="http://schemas.openxmlformats.org/officeDocument/2006/relationships/ctrlProp" Target="../ctrlProps/ctrlProp55.xml"/><Relationship Id="rId19" Type="http://schemas.openxmlformats.org/officeDocument/2006/relationships/ctrlProp" Target="../ctrlProps/ctrlProp64.xml"/><Relationship Id="rId31" Type="http://schemas.openxmlformats.org/officeDocument/2006/relationships/ctrlProp" Target="../ctrlProps/ctrlProp76.xml"/><Relationship Id="rId4" Type="http://schemas.openxmlformats.org/officeDocument/2006/relationships/ctrlProp" Target="../ctrlProps/ctrlProp49.xml"/><Relationship Id="rId9" Type="http://schemas.openxmlformats.org/officeDocument/2006/relationships/ctrlProp" Target="../ctrlProps/ctrlProp54.xml"/><Relationship Id="rId14" Type="http://schemas.openxmlformats.org/officeDocument/2006/relationships/ctrlProp" Target="../ctrlProps/ctrlProp59.xml"/><Relationship Id="rId22" Type="http://schemas.openxmlformats.org/officeDocument/2006/relationships/ctrlProp" Target="../ctrlProps/ctrlProp67.xml"/><Relationship Id="rId27" Type="http://schemas.openxmlformats.org/officeDocument/2006/relationships/ctrlProp" Target="../ctrlProps/ctrlProp72.xml"/><Relationship Id="rId30" Type="http://schemas.openxmlformats.org/officeDocument/2006/relationships/ctrlProp" Target="../ctrlProps/ctrlProp75.xml"/><Relationship Id="rId35" Type="http://schemas.openxmlformats.org/officeDocument/2006/relationships/ctrlProp" Target="../ctrlProps/ctrlProp80.xml"/><Relationship Id="rId8" Type="http://schemas.openxmlformats.org/officeDocument/2006/relationships/ctrlProp" Target="../ctrlProps/ctrlProp53.xml"/><Relationship Id="rId3" Type="http://schemas.openxmlformats.org/officeDocument/2006/relationships/vmlDrawing" Target="../drawings/vmlDrawing3.vml"/><Relationship Id="rId12" Type="http://schemas.openxmlformats.org/officeDocument/2006/relationships/ctrlProp" Target="../ctrlProps/ctrlProp57.xml"/><Relationship Id="rId17" Type="http://schemas.openxmlformats.org/officeDocument/2006/relationships/ctrlProp" Target="../ctrlProps/ctrlProp62.xml"/><Relationship Id="rId25" Type="http://schemas.openxmlformats.org/officeDocument/2006/relationships/ctrlProp" Target="../ctrlProps/ctrlProp70.xml"/><Relationship Id="rId33" Type="http://schemas.openxmlformats.org/officeDocument/2006/relationships/ctrlProp" Target="../ctrlProps/ctrlProp78.xml"/><Relationship Id="rId38" Type="http://schemas.openxmlformats.org/officeDocument/2006/relationships/ctrlProp" Target="../ctrlProps/ctrlProp83.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90.xml"/><Relationship Id="rId13" Type="http://schemas.openxmlformats.org/officeDocument/2006/relationships/ctrlProp" Target="../ctrlProps/ctrlProp95.xml"/><Relationship Id="rId18" Type="http://schemas.openxmlformats.org/officeDocument/2006/relationships/ctrlProp" Target="../ctrlProps/ctrlProp100.xml"/><Relationship Id="rId26" Type="http://schemas.openxmlformats.org/officeDocument/2006/relationships/ctrlProp" Target="../ctrlProps/ctrlProp108.xml"/><Relationship Id="rId3" Type="http://schemas.openxmlformats.org/officeDocument/2006/relationships/vmlDrawing" Target="../drawings/vmlDrawing4.vml"/><Relationship Id="rId21" Type="http://schemas.openxmlformats.org/officeDocument/2006/relationships/ctrlProp" Target="../ctrlProps/ctrlProp103.xml"/><Relationship Id="rId7" Type="http://schemas.openxmlformats.org/officeDocument/2006/relationships/ctrlProp" Target="../ctrlProps/ctrlProp89.xml"/><Relationship Id="rId12" Type="http://schemas.openxmlformats.org/officeDocument/2006/relationships/ctrlProp" Target="../ctrlProps/ctrlProp94.xml"/><Relationship Id="rId17" Type="http://schemas.openxmlformats.org/officeDocument/2006/relationships/ctrlProp" Target="../ctrlProps/ctrlProp99.xml"/><Relationship Id="rId25" Type="http://schemas.openxmlformats.org/officeDocument/2006/relationships/ctrlProp" Target="../ctrlProps/ctrlProp107.xml"/><Relationship Id="rId2" Type="http://schemas.openxmlformats.org/officeDocument/2006/relationships/drawing" Target="../drawings/drawing9.xml"/><Relationship Id="rId16" Type="http://schemas.openxmlformats.org/officeDocument/2006/relationships/ctrlProp" Target="../ctrlProps/ctrlProp98.xml"/><Relationship Id="rId20" Type="http://schemas.openxmlformats.org/officeDocument/2006/relationships/ctrlProp" Target="../ctrlProps/ctrlProp102.xml"/><Relationship Id="rId1" Type="http://schemas.openxmlformats.org/officeDocument/2006/relationships/printerSettings" Target="../printerSettings/printerSettings8.bin"/><Relationship Id="rId6" Type="http://schemas.openxmlformats.org/officeDocument/2006/relationships/ctrlProp" Target="../ctrlProps/ctrlProp88.xml"/><Relationship Id="rId11" Type="http://schemas.openxmlformats.org/officeDocument/2006/relationships/ctrlProp" Target="../ctrlProps/ctrlProp93.xml"/><Relationship Id="rId24" Type="http://schemas.openxmlformats.org/officeDocument/2006/relationships/ctrlProp" Target="../ctrlProps/ctrlProp106.xml"/><Relationship Id="rId5" Type="http://schemas.openxmlformats.org/officeDocument/2006/relationships/ctrlProp" Target="../ctrlProps/ctrlProp87.xml"/><Relationship Id="rId15" Type="http://schemas.openxmlformats.org/officeDocument/2006/relationships/ctrlProp" Target="../ctrlProps/ctrlProp97.xml"/><Relationship Id="rId23" Type="http://schemas.openxmlformats.org/officeDocument/2006/relationships/ctrlProp" Target="../ctrlProps/ctrlProp105.xml"/><Relationship Id="rId10" Type="http://schemas.openxmlformats.org/officeDocument/2006/relationships/ctrlProp" Target="../ctrlProps/ctrlProp92.xml"/><Relationship Id="rId19" Type="http://schemas.openxmlformats.org/officeDocument/2006/relationships/ctrlProp" Target="../ctrlProps/ctrlProp101.xml"/><Relationship Id="rId4" Type="http://schemas.openxmlformats.org/officeDocument/2006/relationships/ctrlProp" Target="../ctrlProps/ctrlProp86.xml"/><Relationship Id="rId9" Type="http://schemas.openxmlformats.org/officeDocument/2006/relationships/ctrlProp" Target="../ctrlProps/ctrlProp91.xml"/><Relationship Id="rId14" Type="http://schemas.openxmlformats.org/officeDocument/2006/relationships/ctrlProp" Target="../ctrlProps/ctrlProp96.xml"/><Relationship Id="rId22" Type="http://schemas.openxmlformats.org/officeDocument/2006/relationships/ctrlProp" Target="../ctrlProps/ctrlProp104.xml"/><Relationship Id="rId27"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2:R13"/>
  <sheetViews>
    <sheetView showGridLines="0" showRowColHeaders="0" topLeftCell="B1" zoomScaleNormal="100" workbookViewId="0">
      <selection activeCell="I19" sqref="I19"/>
    </sheetView>
  </sheetViews>
  <sheetFormatPr defaultColWidth="9" defaultRowHeight="13.9"/>
  <cols>
    <col min="1" max="1" width="3" style="280" hidden="1" customWidth="1"/>
    <col min="2" max="16384" width="9" style="280"/>
  </cols>
  <sheetData>
    <row r="12" spans="2:18" ht="19.5" customHeight="1">
      <c r="B12" s="392"/>
      <c r="C12" s="392"/>
      <c r="D12" s="392"/>
      <c r="E12" s="392"/>
      <c r="F12" s="392"/>
      <c r="G12" s="392"/>
      <c r="H12" s="392"/>
      <c r="I12" s="392"/>
      <c r="J12" s="392"/>
      <c r="K12" s="392"/>
      <c r="L12" s="392"/>
      <c r="M12" s="392"/>
      <c r="N12" s="392"/>
      <c r="O12" s="392"/>
    </row>
    <row r="13" spans="2:18" s="282" customFormat="1" ht="33.75" customHeight="1">
      <c r="B13" s="283" t="s">
        <v>0</v>
      </c>
      <c r="C13" s="284"/>
      <c r="D13" s="284"/>
      <c r="E13" s="284"/>
      <c r="F13" s="284"/>
      <c r="G13" s="284"/>
      <c r="H13" s="284"/>
      <c r="I13" s="284"/>
      <c r="J13" s="284"/>
      <c r="K13" s="284"/>
      <c r="L13" s="284"/>
      <c r="M13" s="284"/>
      <c r="N13" s="284"/>
      <c r="O13" s="284"/>
      <c r="P13" s="281"/>
      <c r="Q13" s="281"/>
      <c r="R13" s="281"/>
    </row>
  </sheetData>
  <sheetProtection algorithmName="SHA-512" hashValue="XIw4Gc//uU3BARqrfdPP3x2SkS9qTzqZKYiAekJFLs5MhKfSkgrjuRgjY4CWbe4CgLDCCdqc2bAuV9FceIoO3Q==" saltValue="ycOiz/7+99Gv0BcrM7EDKg==" spinCount="100000" sheet="1" selectLockedCells="1" selectUnlockedCells="1"/>
  <mergeCells count="1">
    <mergeCell ref="B12:O12"/>
  </mergeCells>
  <pageMargins left="0.7" right="0.7" top="0.75" bottom="0.75" header="0.3" footer="0.3"/>
  <pageSetup paperSize="9" orientation="portrait"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dimension ref="A1:AK482"/>
  <sheetViews>
    <sheetView showGridLines="0" topLeftCell="B1" zoomScaleNormal="100" workbookViewId="0">
      <selection activeCell="D12" sqref="D12"/>
    </sheetView>
  </sheetViews>
  <sheetFormatPr defaultColWidth="9" defaultRowHeight="13.9"/>
  <cols>
    <col min="1" max="1" width="3.75" style="11" hidden="1" customWidth="1"/>
    <col min="2" max="2" width="25.25" style="11" customWidth="1"/>
    <col min="3" max="3" width="22.25" style="11" customWidth="1"/>
    <col min="4" max="4" width="69.5" style="11" customWidth="1"/>
    <col min="5" max="5" width="6" style="285" customWidth="1"/>
    <col min="6" max="6" width="4" style="285" customWidth="1"/>
    <col min="7" max="37" width="9" style="285"/>
    <col min="38" max="16384" width="9" style="11"/>
  </cols>
  <sheetData>
    <row r="1" spans="2:6" ht="151.9" customHeight="1">
      <c r="B1" s="393"/>
      <c r="C1" s="393"/>
      <c r="D1" s="393"/>
    </row>
    <row r="2" spans="2:6" ht="22.5" customHeight="1">
      <c r="B2" s="286"/>
      <c r="C2" s="286"/>
      <c r="D2" s="286"/>
    </row>
    <row r="3" spans="2:6" ht="33.75" customHeight="1">
      <c r="B3" s="138" t="s">
        <v>1</v>
      </c>
      <c r="C3" s="139"/>
      <c r="D3" s="140"/>
      <c r="E3" s="140"/>
      <c r="F3" s="140"/>
    </row>
    <row r="4" spans="2:6" ht="56.25" customHeight="1">
      <c r="B4" s="394" t="s">
        <v>2</v>
      </c>
      <c r="C4" s="394"/>
      <c r="D4" s="394"/>
      <c r="E4" s="394"/>
      <c r="F4" s="394"/>
    </row>
    <row r="5" spans="2:6" ht="25.5" customHeight="1">
      <c r="B5" s="198"/>
      <c r="C5" s="137" t="s">
        <v>3</v>
      </c>
      <c r="D5" s="395" t="s">
        <v>4</v>
      </c>
      <c r="E5" s="396"/>
      <c r="F5" s="396"/>
    </row>
    <row r="6" spans="2:6" ht="25.5" customHeight="1">
      <c r="B6" s="264" t="s">
        <v>5</v>
      </c>
      <c r="C6" s="287">
        <v>44682</v>
      </c>
      <c r="D6" s="397" t="s">
        <v>6</v>
      </c>
      <c r="E6" s="397"/>
      <c r="F6" s="397"/>
    </row>
    <row r="7" spans="2:6" ht="26.45">
      <c r="B7" s="264" t="s">
        <v>5</v>
      </c>
      <c r="C7" s="287">
        <v>45629</v>
      </c>
      <c r="D7" s="397" t="s">
        <v>7</v>
      </c>
      <c r="E7" s="397"/>
      <c r="F7" s="397"/>
    </row>
    <row r="8" spans="2:6">
      <c r="B8" s="285"/>
      <c r="C8" s="285"/>
      <c r="D8" s="285"/>
    </row>
    <row r="9" spans="2:6">
      <c r="B9" s="285"/>
      <c r="C9" s="285"/>
      <c r="D9" s="285"/>
    </row>
    <row r="10" spans="2:6">
      <c r="B10" s="285"/>
      <c r="C10" s="285"/>
      <c r="D10" s="285"/>
    </row>
    <row r="11" spans="2:6">
      <c r="B11" s="285"/>
      <c r="C11" s="285"/>
      <c r="D11" s="285"/>
    </row>
    <row r="12" spans="2:6">
      <c r="B12" s="285"/>
      <c r="C12" s="285"/>
      <c r="D12" s="285"/>
    </row>
    <row r="13" spans="2:6">
      <c r="B13" s="285"/>
      <c r="C13" s="285"/>
      <c r="D13" s="285"/>
    </row>
    <row r="14" spans="2:6">
      <c r="B14" s="285"/>
      <c r="C14" s="285"/>
      <c r="D14" s="285"/>
    </row>
    <row r="15" spans="2:6">
      <c r="B15" s="285"/>
      <c r="C15" s="285"/>
      <c r="D15" s="285"/>
    </row>
    <row r="16" spans="2:6">
      <c r="B16" s="285"/>
      <c r="C16" s="285"/>
      <c r="D16" s="285"/>
    </row>
    <row r="17" spans="2:4">
      <c r="B17" s="285"/>
      <c r="C17" s="285"/>
      <c r="D17" s="285"/>
    </row>
    <row r="18" spans="2:4">
      <c r="B18" s="285"/>
      <c r="C18" s="285"/>
      <c r="D18" s="285"/>
    </row>
    <row r="19" spans="2:4">
      <c r="B19" s="285"/>
      <c r="C19" s="285"/>
      <c r="D19" s="285"/>
    </row>
    <row r="20" spans="2:4">
      <c r="B20" s="285"/>
      <c r="C20" s="285"/>
      <c r="D20" s="285"/>
    </row>
    <row r="21" spans="2:4">
      <c r="B21" s="285"/>
      <c r="C21" s="285"/>
      <c r="D21" s="285"/>
    </row>
    <row r="22" spans="2:4">
      <c r="B22" s="285"/>
      <c r="C22" s="285"/>
      <c r="D22" s="285"/>
    </row>
    <row r="23" spans="2:4">
      <c r="B23" s="285"/>
      <c r="C23" s="285"/>
      <c r="D23" s="285"/>
    </row>
    <row r="24" spans="2:4">
      <c r="B24" s="285"/>
      <c r="C24" s="285"/>
      <c r="D24" s="285"/>
    </row>
    <row r="25" spans="2:4">
      <c r="B25" s="285"/>
      <c r="C25" s="285"/>
      <c r="D25" s="285"/>
    </row>
    <row r="26" spans="2:4">
      <c r="B26" s="285"/>
      <c r="C26" s="285"/>
      <c r="D26" s="285"/>
    </row>
    <row r="27" spans="2:4">
      <c r="B27" s="285"/>
      <c r="C27" s="285"/>
      <c r="D27" s="285"/>
    </row>
    <row r="28" spans="2:4">
      <c r="B28" s="285"/>
      <c r="C28" s="285"/>
      <c r="D28" s="285"/>
    </row>
    <row r="29" spans="2:4">
      <c r="B29" s="285"/>
      <c r="C29" s="285"/>
      <c r="D29" s="285"/>
    </row>
    <row r="30" spans="2:4">
      <c r="B30" s="285"/>
      <c r="C30" s="285"/>
      <c r="D30" s="285"/>
    </row>
    <row r="31" spans="2:4">
      <c r="B31" s="285"/>
      <c r="C31" s="285"/>
      <c r="D31" s="285"/>
    </row>
    <row r="32" spans="2:4">
      <c r="B32" s="285"/>
      <c r="C32" s="285"/>
      <c r="D32" s="285"/>
    </row>
    <row r="33" spans="2:4">
      <c r="B33" s="285"/>
      <c r="C33" s="285"/>
      <c r="D33" s="285"/>
    </row>
    <row r="34" spans="2:4">
      <c r="B34" s="285"/>
      <c r="C34" s="285"/>
      <c r="D34" s="285"/>
    </row>
    <row r="35" spans="2:4">
      <c r="B35" s="285"/>
      <c r="C35" s="285"/>
      <c r="D35" s="285"/>
    </row>
    <row r="36" spans="2:4">
      <c r="B36" s="285"/>
      <c r="C36" s="285"/>
      <c r="D36" s="285"/>
    </row>
    <row r="37" spans="2:4">
      <c r="B37" s="285"/>
      <c r="C37" s="285"/>
      <c r="D37" s="285"/>
    </row>
    <row r="38" spans="2:4">
      <c r="B38" s="285"/>
      <c r="C38" s="285"/>
      <c r="D38" s="285"/>
    </row>
    <row r="39" spans="2:4">
      <c r="B39" s="285"/>
      <c r="C39" s="285"/>
      <c r="D39" s="285"/>
    </row>
    <row r="40" spans="2:4">
      <c r="B40" s="285"/>
      <c r="C40" s="285"/>
      <c r="D40" s="285"/>
    </row>
    <row r="41" spans="2:4">
      <c r="B41" s="285"/>
      <c r="C41" s="285"/>
      <c r="D41" s="285"/>
    </row>
    <row r="42" spans="2:4">
      <c r="B42" s="285"/>
      <c r="C42" s="285"/>
      <c r="D42" s="285"/>
    </row>
    <row r="43" spans="2:4">
      <c r="B43" s="285"/>
      <c r="C43" s="285"/>
      <c r="D43" s="285"/>
    </row>
    <row r="44" spans="2:4">
      <c r="B44" s="285"/>
      <c r="C44" s="285"/>
      <c r="D44" s="285"/>
    </row>
    <row r="45" spans="2:4">
      <c r="B45" s="285"/>
      <c r="C45" s="285"/>
      <c r="D45" s="285"/>
    </row>
    <row r="46" spans="2:4">
      <c r="B46" s="285"/>
      <c r="C46" s="285"/>
      <c r="D46" s="285"/>
    </row>
    <row r="47" spans="2:4">
      <c r="B47" s="285"/>
      <c r="C47" s="285"/>
      <c r="D47" s="285"/>
    </row>
    <row r="48" spans="2:4">
      <c r="B48" s="285"/>
      <c r="C48" s="285"/>
      <c r="D48" s="285"/>
    </row>
    <row r="49" spans="2:4">
      <c r="B49" s="285"/>
      <c r="C49" s="285"/>
      <c r="D49" s="285"/>
    </row>
    <row r="50" spans="2:4">
      <c r="B50" s="285"/>
      <c r="C50" s="285"/>
      <c r="D50" s="285"/>
    </row>
    <row r="51" spans="2:4">
      <c r="B51" s="285"/>
      <c r="C51" s="285"/>
      <c r="D51" s="285"/>
    </row>
    <row r="52" spans="2:4">
      <c r="B52" s="285"/>
      <c r="C52" s="285"/>
      <c r="D52" s="285"/>
    </row>
    <row r="53" spans="2:4">
      <c r="B53" s="285"/>
      <c r="C53" s="285"/>
      <c r="D53" s="285"/>
    </row>
    <row r="54" spans="2:4">
      <c r="B54" s="285"/>
      <c r="C54" s="285"/>
      <c r="D54" s="285"/>
    </row>
    <row r="55" spans="2:4">
      <c r="B55" s="285"/>
      <c r="C55" s="285"/>
      <c r="D55" s="285"/>
    </row>
    <row r="56" spans="2:4">
      <c r="B56" s="285"/>
      <c r="C56" s="285"/>
      <c r="D56" s="285"/>
    </row>
    <row r="57" spans="2:4">
      <c r="B57" s="285"/>
      <c r="C57" s="285"/>
      <c r="D57" s="285"/>
    </row>
    <row r="58" spans="2:4">
      <c r="B58" s="285"/>
      <c r="C58" s="285"/>
      <c r="D58" s="285"/>
    </row>
    <row r="59" spans="2:4">
      <c r="B59" s="285"/>
      <c r="C59" s="285"/>
      <c r="D59" s="285"/>
    </row>
    <row r="60" spans="2:4">
      <c r="B60" s="285"/>
      <c r="C60" s="285"/>
      <c r="D60" s="285"/>
    </row>
    <row r="61" spans="2:4">
      <c r="B61" s="285"/>
      <c r="C61" s="285"/>
      <c r="D61" s="285"/>
    </row>
    <row r="62" spans="2:4">
      <c r="B62" s="285"/>
      <c r="C62" s="285"/>
      <c r="D62" s="285"/>
    </row>
    <row r="63" spans="2:4">
      <c r="B63" s="285"/>
      <c r="C63" s="285"/>
      <c r="D63" s="285"/>
    </row>
    <row r="64" spans="2:4">
      <c r="B64" s="285"/>
      <c r="C64" s="285"/>
      <c r="D64" s="285"/>
    </row>
    <row r="65" spans="2:4">
      <c r="B65" s="285"/>
      <c r="C65" s="285"/>
      <c r="D65" s="285"/>
    </row>
    <row r="66" spans="2:4">
      <c r="B66" s="285"/>
      <c r="C66" s="285"/>
      <c r="D66" s="285"/>
    </row>
    <row r="67" spans="2:4">
      <c r="B67" s="285"/>
      <c r="C67" s="285"/>
      <c r="D67" s="285"/>
    </row>
    <row r="68" spans="2:4">
      <c r="B68" s="285"/>
      <c r="C68" s="285"/>
      <c r="D68" s="285"/>
    </row>
    <row r="69" spans="2:4">
      <c r="B69" s="285"/>
      <c r="C69" s="285"/>
      <c r="D69" s="285"/>
    </row>
    <row r="70" spans="2:4">
      <c r="B70" s="285"/>
      <c r="C70" s="285"/>
      <c r="D70" s="285"/>
    </row>
    <row r="71" spans="2:4">
      <c r="B71" s="285"/>
      <c r="C71" s="285"/>
      <c r="D71" s="285"/>
    </row>
    <row r="72" spans="2:4">
      <c r="B72" s="285"/>
      <c r="C72" s="285"/>
      <c r="D72" s="285"/>
    </row>
    <row r="73" spans="2:4">
      <c r="B73" s="285"/>
      <c r="C73" s="285"/>
      <c r="D73" s="285"/>
    </row>
    <row r="74" spans="2:4">
      <c r="B74" s="285"/>
      <c r="C74" s="285"/>
      <c r="D74" s="285"/>
    </row>
    <row r="75" spans="2:4">
      <c r="B75" s="285"/>
      <c r="C75" s="285"/>
      <c r="D75" s="285"/>
    </row>
    <row r="76" spans="2:4">
      <c r="B76" s="285"/>
      <c r="C76" s="285"/>
      <c r="D76" s="285"/>
    </row>
    <row r="77" spans="2:4">
      <c r="B77" s="285"/>
      <c r="C77" s="285"/>
      <c r="D77" s="285"/>
    </row>
    <row r="78" spans="2:4">
      <c r="B78" s="285"/>
      <c r="C78" s="285"/>
      <c r="D78" s="285"/>
    </row>
    <row r="79" spans="2:4">
      <c r="B79" s="285"/>
      <c r="C79" s="285"/>
      <c r="D79" s="285"/>
    </row>
    <row r="80" spans="2:4">
      <c r="B80" s="285"/>
      <c r="C80" s="285"/>
      <c r="D80" s="285"/>
    </row>
    <row r="81" spans="2:4">
      <c r="B81" s="285"/>
      <c r="C81" s="285"/>
      <c r="D81" s="285"/>
    </row>
    <row r="82" spans="2:4">
      <c r="B82" s="285"/>
      <c r="C82" s="285"/>
      <c r="D82" s="285"/>
    </row>
    <row r="83" spans="2:4">
      <c r="B83" s="285"/>
      <c r="C83" s="285"/>
      <c r="D83" s="285"/>
    </row>
    <row r="84" spans="2:4">
      <c r="B84" s="285"/>
      <c r="C84" s="285"/>
      <c r="D84" s="285"/>
    </row>
    <row r="85" spans="2:4">
      <c r="B85" s="285"/>
      <c r="C85" s="285"/>
      <c r="D85" s="285"/>
    </row>
    <row r="86" spans="2:4">
      <c r="B86" s="285"/>
      <c r="C86" s="285"/>
      <c r="D86" s="285"/>
    </row>
    <row r="87" spans="2:4">
      <c r="B87" s="285"/>
      <c r="C87" s="285"/>
      <c r="D87" s="285"/>
    </row>
    <row r="88" spans="2:4">
      <c r="B88" s="285"/>
      <c r="C88" s="285"/>
      <c r="D88" s="285"/>
    </row>
    <row r="89" spans="2:4">
      <c r="B89" s="285"/>
      <c r="C89" s="285"/>
      <c r="D89" s="285"/>
    </row>
    <row r="90" spans="2:4">
      <c r="B90" s="285"/>
      <c r="C90" s="285"/>
      <c r="D90" s="285"/>
    </row>
    <row r="91" spans="2:4">
      <c r="B91" s="285"/>
      <c r="C91" s="285"/>
      <c r="D91" s="285"/>
    </row>
    <row r="92" spans="2:4">
      <c r="B92" s="285"/>
      <c r="C92" s="285"/>
      <c r="D92" s="285"/>
    </row>
    <row r="93" spans="2:4">
      <c r="B93" s="285"/>
      <c r="C93" s="285"/>
      <c r="D93" s="285"/>
    </row>
    <row r="94" spans="2:4">
      <c r="B94" s="285"/>
      <c r="C94" s="285"/>
      <c r="D94" s="285"/>
    </row>
    <row r="95" spans="2:4">
      <c r="B95" s="285"/>
      <c r="C95" s="285"/>
      <c r="D95" s="285"/>
    </row>
    <row r="96" spans="2:4">
      <c r="B96" s="285"/>
      <c r="C96" s="285"/>
      <c r="D96" s="285"/>
    </row>
    <row r="97" spans="2:4">
      <c r="B97" s="285"/>
      <c r="C97" s="285"/>
      <c r="D97" s="285"/>
    </row>
    <row r="98" spans="2:4">
      <c r="B98" s="285"/>
      <c r="C98" s="285"/>
      <c r="D98" s="285"/>
    </row>
    <row r="99" spans="2:4">
      <c r="B99" s="285"/>
      <c r="C99" s="285"/>
      <c r="D99" s="285"/>
    </row>
    <row r="100" spans="2:4">
      <c r="B100" s="285"/>
      <c r="C100" s="285"/>
      <c r="D100" s="285"/>
    </row>
    <row r="101" spans="2:4">
      <c r="B101" s="285"/>
      <c r="C101" s="285"/>
      <c r="D101" s="285"/>
    </row>
    <row r="102" spans="2:4">
      <c r="B102" s="285"/>
      <c r="C102" s="285"/>
      <c r="D102" s="285"/>
    </row>
    <row r="103" spans="2:4">
      <c r="B103" s="285"/>
      <c r="C103" s="285"/>
      <c r="D103" s="285"/>
    </row>
    <row r="104" spans="2:4">
      <c r="B104" s="285"/>
      <c r="C104" s="285"/>
      <c r="D104" s="285"/>
    </row>
    <row r="105" spans="2:4">
      <c r="B105" s="285"/>
      <c r="C105" s="285"/>
      <c r="D105" s="285"/>
    </row>
    <row r="106" spans="2:4">
      <c r="B106" s="285"/>
      <c r="C106" s="285"/>
      <c r="D106" s="285"/>
    </row>
    <row r="107" spans="2:4">
      <c r="B107" s="285"/>
      <c r="C107" s="285"/>
      <c r="D107" s="285"/>
    </row>
    <row r="108" spans="2:4">
      <c r="B108" s="285"/>
      <c r="C108" s="285"/>
      <c r="D108" s="285"/>
    </row>
    <row r="109" spans="2:4">
      <c r="B109" s="285"/>
      <c r="C109" s="285"/>
      <c r="D109" s="285"/>
    </row>
    <row r="110" spans="2:4">
      <c r="B110" s="285"/>
      <c r="C110" s="285"/>
      <c r="D110" s="285"/>
    </row>
    <row r="111" spans="2:4">
      <c r="B111" s="285"/>
      <c r="C111" s="285"/>
      <c r="D111" s="285"/>
    </row>
    <row r="112" spans="2:4">
      <c r="B112" s="285"/>
      <c r="C112" s="285"/>
      <c r="D112" s="285"/>
    </row>
    <row r="113" spans="2:4">
      <c r="B113" s="285"/>
      <c r="C113" s="285"/>
      <c r="D113" s="285"/>
    </row>
    <row r="114" spans="2:4">
      <c r="B114" s="285"/>
      <c r="C114" s="285"/>
      <c r="D114" s="285"/>
    </row>
    <row r="115" spans="2:4">
      <c r="B115" s="285"/>
      <c r="C115" s="285"/>
      <c r="D115" s="285"/>
    </row>
    <row r="116" spans="2:4">
      <c r="B116" s="285"/>
      <c r="C116" s="285"/>
      <c r="D116" s="285"/>
    </row>
    <row r="117" spans="2:4">
      <c r="B117" s="285"/>
      <c r="C117" s="285"/>
      <c r="D117" s="285"/>
    </row>
    <row r="118" spans="2:4">
      <c r="B118" s="285"/>
      <c r="C118" s="285"/>
      <c r="D118" s="285"/>
    </row>
    <row r="119" spans="2:4">
      <c r="B119" s="285"/>
      <c r="C119" s="285"/>
      <c r="D119" s="285"/>
    </row>
    <row r="120" spans="2:4">
      <c r="B120" s="285"/>
      <c r="C120" s="285"/>
      <c r="D120" s="285"/>
    </row>
    <row r="121" spans="2:4">
      <c r="B121" s="285"/>
      <c r="C121" s="285"/>
      <c r="D121" s="285"/>
    </row>
    <row r="122" spans="2:4">
      <c r="B122" s="285"/>
      <c r="C122" s="285"/>
      <c r="D122" s="285"/>
    </row>
    <row r="123" spans="2:4">
      <c r="B123" s="285"/>
      <c r="C123" s="285"/>
      <c r="D123" s="285"/>
    </row>
    <row r="124" spans="2:4">
      <c r="B124" s="285"/>
      <c r="C124" s="285"/>
      <c r="D124" s="285"/>
    </row>
    <row r="125" spans="2:4">
      <c r="B125" s="285"/>
      <c r="C125" s="285"/>
      <c r="D125" s="285"/>
    </row>
    <row r="126" spans="2:4">
      <c r="B126" s="285"/>
      <c r="C126" s="285"/>
      <c r="D126" s="285"/>
    </row>
    <row r="127" spans="2:4">
      <c r="B127" s="285"/>
      <c r="C127" s="285"/>
      <c r="D127" s="285"/>
    </row>
    <row r="128" spans="2:4">
      <c r="B128" s="285"/>
      <c r="C128" s="285"/>
      <c r="D128" s="285"/>
    </row>
    <row r="129" spans="2:4">
      <c r="B129" s="285"/>
      <c r="C129" s="285"/>
      <c r="D129" s="285"/>
    </row>
    <row r="130" spans="2:4">
      <c r="B130" s="285"/>
      <c r="C130" s="285"/>
      <c r="D130" s="285"/>
    </row>
    <row r="131" spans="2:4">
      <c r="B131" s="285"/>
      <c r="C131" s="285"/>
      <c r="D131" s="285"/>
    </row>
    <row r="132" spans="2:4">
      <c r="B132" s="285"/>
      <c r="C132" s="285"/>
      <c r="D132" s="285"/>
    </row>
    <row r="133" spans="2:4">
      <c r="B133" s="285"/>
      <c r="C133" s="285"/>
      <c r="D133" s="285"/>
    </row>
    <row r="134" spans="2:4">
      <c r="B134" s="285"/>
      <c r="C134" s="285"/>
      <c r="D134" s="285"/>
    </row>
    <row r="135" spans="2:4">
      <c r="B135" s="285"/>
      <c r="C135" s="285"/>
      <c r="D135" s="285"/>
    </row>
    <row r="136" spans="2:4">
      <c r="B136" s="285"/>
      <c r="C136" s="285"/>
      <c r="D136" s="285"/>
    </row>
    <row r="137" spans="2:4">
      <c r="B137" s="285"/>
      <c r="C137" s="285"/>
      <c r="D137" s="285"/>
    </row>
    <row r="138" spans="2:4">
      <c r="B138" s="285"/>
      <c r="C138" s="285"/>
      <c r="D138" s="285"/>
    </row>
    <row r="139" spans="2:4">
      <c r="B139" s="285"/>
      <c r="C139" s="285"/>
      <c r="D139" s="285"/>
    </row>
    <row r="140" spans="2:4">
      <c r="B140" s="285"/>
      <c r="C140" s="285"/>
      <c r="D140" s="285"/>
    </row>
    <row r="141" spans="2:4">
      <c r="B141" s="285"/>
      <c r="C141" s="285"/>
      <c r="D141" s="285"/>
    </row>
    <row r="142" spans="2:4">
      <c r="B142" s="285"/>
      <c r="C142" s="285"/>
      <c r="D142" s="285"/>
    </row>
    <row r="143" spans="2:4">
      <c r="B143" s="285"/>
      <c r="C143" s="285"/>
      <c r="D143" s="285"/>
    </row>
    <row r="144" spans="2:4">
      <c r="B144" s="285"/>
      <c r="C144" s="285"/>
      <c r="D144" s="285"/>
    </row>
    <row r="145" spans="2:4">
      <c r="B145" s="285"/>
      <c r="C145" s="285"/>
      <c r="D145" s="285"/>
    </row>
    <row r="146" spans="2:4">
      <c r="B146" s="285"/>
      <c r="C146" s="285"/>
      <c r="D146" s="285"/>
    </row>
    <row r="147" spans="2:4">
      <c r="B147" s="285"/>
      <c r="C147" s="285"/>
      <c r="D147" s="285"/>
    </row>
    <row r="148" spans="2:4">
      <c r="B148" s="285"/>
      <c r="C148" s="285"/>
      <c r="D148" s="285"/>
    </row>
    <row r="149" spans="2:4">
      <c r="B149" s="285"/>
      <c r="C149" s="285"/>
      <c r="D149" s="285"/>
    </row>
    <row r="150" spans="2:4">
      <c r="B150" s="285"/>
      <c r="C150" s="285"/>
      <c r="D150" s="285"/>
    </row>
    <row r="151" spans="2:4">
      <c r="B151" s="285"/>
      <c r="C151" s="285"/>
      <c r="D151" s="285"/>
    </row>
    <row r="152" spans="2:4">
      <c r="B152" s="285"/>
      <c r="C152" s="285"/>
      <c r="D152" s="285"/>
    </row>
    <row r="153" spans="2:4">
      <c r="B153" s="285"/>
      <c r="C153" s="285"/>
      <c r="D153" s="285"/>
    </row>
    <row r="154" spans="2:4">
      <c r="B154" s="285"/>
      <c r="C154" s="285"/>
      <c r="D154" s="285"/>
    </row>
    <row r="155" spans="2:4">
      <c r="B155" s="285"/>
      <c r="C155" s="285"/>
      <c r="D155" s="285"/>
    </row>
    <row r="156" spans="2:4">
      <c r="B156" s="285"/>
      <c r="C156" s="285"/>
      <c r="D156" s="285"/>
    </row>
    <row r="157" spans="2:4">
      <c r="B157" s="285"/>
      <c r="C157" s="285"/>
      <c r="D157" s="285"/>
    </row>
    <row r="158" spans="2:4">
      <c r="B158" s="285"/>
      <c r="C158" s="285"/>
      <c r="D158" s="285"/>
    </row>
    <row r="159" spans="2:4">
      <c r="B159" s="285"/>
      <c r="C159" s="285"/>
      <c r="D159" s="285"/>
    </row>
    <row r="160" spans="2:4">
      <c r="B160" s="285"/>
      <c r="C160" s="285"/>
      <c r="D160" s="285"/>
    </row>
    <row r="161" spans="2:4">
      <c r="B161" s="285"/>
      <c r="C161" s="285"/>
      <c r="D161" s="285"/>
    </row>
    <row r="162" spans="2:4">
      <c r="B162" s="285"/>
      <c r="C162" s="285"/>
      <c r="D162" s="285"/>
    </row>
    <row r="163" spans="2:4">
      <c r="B163" s="285"/>
      <c r="C163" s="285"/>
      <c r="D163" s="285"/>
    </row>
    <row r="164" spans="2:4">
      <c r="B164" s="285"/>
      <c r="C164" s="285"/>
      <c r="D164" s="285"/>
    </row>
    <row r="165" spans="2:4">
      <c r="B165" s="285"/>
      <c r="C165" s="285"/>
      <c r="D165" s="285"/>
    </row>
    <row r="166" spans="2:4">
      <c r="B166" s="285"/>
      <c r="C166" s="285"/>
      <c r="D166" s="285"/>
    </row>
    <row r="167" spans="2:4">
      <c r="B167" s="285"/>
      <c r="C167" s="285"/>
      <c r="D167" s="285"/>
    </row>
    <row r="168" spans="2:4">
      <c r="B168" s="285"/>
      <c r="C168" s="285"/>
      <c r="D168" s="285"/>
    </row>
    <row r="169" spans="2:4">
      <c r="B169" s="285"/>
      <c r="C169" s="285"/>
      <c r="D169" s="285"/>
    </row>
    <row r="170" spans="2:4">
      <c r="B170" s="285"/>
      <c r="C170" s="285"/>
      <c r="D170" s="285"/>
    </row>
    <row r="171" spans="2:4">
      <c r="B171" s="285"/>
      <c r="C171" s="285"/>
      <c r="D171" s="285"/>
    </row>
    <row r="172" spans="2:4">
      <c r="B172" s="285"/>
      <c r="C172" s="285"/>
      <c r="D172" s="285"/>
    </row>
    <row r="173" spans="2:4">
      <c r="B173" s="285"/>
      <c r="C173" s="285"/>
      <c r="D173" s="285"/>
    </row>
    <row r="174" spans="2:4">
      <c r="B174" s="285"/>
      <c r="C174" s="285"/>
      <c r="D174" s="285"/>
    </row>
    <row r="175" spans="2:4">
      <c r="B175" s="285"/>
      <c r="C175" s="285"/>
      <c r="D175" s="285"/>
    </row>
    <row r="176" spans="2:4">
      <c r="B176" s="285"/>
      <c r="C176" s="285"/>
      <c r="D176" s="285"/>
    </row>
    <row r="177" spans="2:4">
      <c r="B177" s="285"/>
      <c r="C177" s="285"/>
      <c r="D177" s="285"/>
    </row>
    <row r="178" spans="2:4">
      <c r="B178" s="285"/>
      <c r="C178" s="285"/>
      <c r="D178" s="285"/>
    </row>
    <row r="179" spans="2:4">
      <c r="B179" s="285"/>
      <c r="C179" s="285"/>
      <c r="D179" s="285"/>
    </row>
    <row r="180" spans="2:4">
      <c r="B180" s="285"/>
      <c r="C180" s="285"/>
      <c r="D180" s="285"/>
    </row>
    <row r="181" spans="2:4">
      <c r="B181" s="285"/>
      <c r="C181" s="285"/>
      <c r="D181" s="285"/>
    </row>
    <row r="182" spans="2:4">
      <c r="B182" s="285"/>
      <c r="C182" s="285"/>
      <c r="D182" s="285"/>
    </row>
    <row r="183" spans="2:4">
      <c r="B183" s="285"/>
      <c r="C183" s="285"/>
      <c r="D183" s="285"/>
    </row>
    <row r="184" spans="2:4">
      <c r="B184" s="285"/>
      <c r="C184" s="285"/>
      <c r="D184" s="285"/>
    </row>
    <row r="185" spans="2:4">
      <c r="B185" s="285"/>
      <c r="C185" s="285"/>
      <c r="D185" s="285"/>
    </row>
    <row r="186" spans="2:4">
      <c r="B186" s="285"/>
      <c r="C186" s="285"/>
      <c r="D186" s="285"/>
    </row>
    <row r="187" spans="2:4">
      <c r="B187" s="285"/>
      <c r="C187" s="285"/>
      <c r="D187" s="285"/>
    </row>
    <row r="188" spans="2:4">
      <c r="B188" s="285"/>
      <c r="C188" s="285"/>
      <c r="D188" s="285"/>
    </row>
    <row r="189" spans="2:4">
      <c r="B189" s="285"/>
      <c r="C189" s="285"/>
      <c r="D189" s="285"/>
    </row>
    <row r="190" spans="2:4">
      <c r="B190" s="285"/>
      <c r="C190" s="285"/>
      <c r="D190" s="285"/>
    </row>
    <row r="191" spans="2:4">
      <c r="B191" s="285"/>
      <c r="C191" s="285"/>
      <c r="D191" s="285"/>
    </row>
    <row r="192" spans="2:4">
      <c r="B192" s="285"/>
      <c r="C192" s="285"/>
      <c r="D192" s="285"/>
    </row>
    <row r="193" spans="2:4">
      <c r="B193" s="285"/>
      <c r="C193" s="285"/>
      <c r="D193" s="285"/>
    </row>
    <row r="194" spans="2:4">
      <c r="B194" s="285"/>
      <c r="C194" s="285"/>
      <c r="D194" s="285"/>
    </row>
    <row r="195" spans="2:4">
      <c r="B195" s="285"/>
      <c r="C195" s="285"/>
      <c r="D195" s="285"/>
    </row>
    <row r="196" spans="2:4">
      <c r="B196" s="285"/>
      <c r="C196" s="285"/>
      <c r="D196" s="285"/>
    </row>
    <row r="197" spans="2:4">
      <c r="B197" s="285"/>
      <c r="C197" s="285"/>
      <c r="D197" s="285"/>
    </row>
    <row r="198" spans="2:4">
      <c r="B198" s="285"/>
      <c r="C198" s="285"/>
      <c r="D198" s="285"/>
    </row>
    <row r="199" spans="2:4">
      <c r="B199" s="285"/>
      <c r="C199" s="285"/>
      <c r="D199" s="285"/>
    </row>
    <row r="200" spans="2:4">
      <c r="B200" s="285"/>
      <c r="C200" s="285"/>
      <c r="D200" s="285"/>
    </row>
    <row r="201" spans="2:4">
      <c r="B201" s="285"/>
      <c r="C201" s="285"/>
      <c r="D201" s="285"/>
    </row>
    <row r="202" spans="2:4">
      <c r="B202" s="285"/>
      <c r="C202" s="285"/>
      <c r="D202" s="285"/>
    </row>
    <row r="203" spans="2:4">
      <c r="B203" s="285"/>
      <c r="C203" s="285"/>
      <c r="D203" s="285"/>
    </row>
    <row r="204" spans="2:4">
      <c r="B204" s="285"/>
      <c r="C204" s="285"/>
      <c r="D204" s="285"/>
    </row>
    <row r="205" spans="2:4">
      <c r="B205" s="285"/>
      <c r="C205" s="285"/>
      <c r="D205" s="285"/>
    </row>
    <row r="206" spans="2:4">
      <c r="B206" s="285"/>
      <c r="C206" s="285"/>
      <c r="D206" s="285"/>
    </row>
    <row r="207" spans="2:4">
      <c r="B207" s="285"/>
      <c r="C207" s="285"/>
      <c r="D207" s="285"/>
    </row>
    <row r="208" spans="2:4">
      <c r="B208" s="285"/>
      <c r="C208" s="285"/>
      <c r="D208" s="285"/>
    </row>
    <row r="209" spans="2:4">
      <c r="B209" s="285"/>
      <c r="C209" s="285"/>
      <c r="D209" s="285"/>
    </row>
    <row r="210" spans="2:4">
      <c r="B210" s="285"/>
      <c r="C210" s="285"/>
      <c r="D210" s="285"/>
    </row>
    <row r="211" spans="2:4">
      <c r="B211" s="285"/>
      <c r="C211" s="285"/>
      <c r="D211" s="285"/>
    </row>
    <row r="212" spans="2:4">
      <c r="B212" s="285"/>
      <c r="C212" s="285"/>
      <c r="D212" s="285"/>
    </row>
    <row r="213" spans="2:4">
      <c r="B213" s="285"/>
      <c r="C213" s="285"/>
      <c r="D213" s="285"/>
    </row>
    <row r="214" spans="2:4">
      <c r="B214" s="285"/>
      <c r="C214" s="285"/>
      <c r="D214" s="285"/>
    </row>
    <row r="215" spans="2:4">
      <c r="B215" s="285"/>
      <c r="C215" s="285"/>
      <c r="D215" s="285"/>
    </row>
    <row r="216" spans="2:4">
      <c r="B216" s="285"/>
      <c r="C216" s="285"/>
      <c r="D216" s="285"/>
    </row>
    <row r="217" spans="2:4">
      <c r="B217" s="285"/>
      <c r="C217" s="285"/>
      <c r="D217" s="285"/>
    </row>
    <row r="218" spans="2:4">
      <c r="B218" s="285"/>
      <c r="C218" s="285"/>
      <c r="D218" s="285"/>
    </row>
    <row r="219" spans="2:4">
      <c r="B219" s="285"/>
      <c r="C219" s="285"/>
      <c r="D219" s="285"/>
    </row>
    <row r="220" spans="2:4">
      <c r="B220" s="285"/>
      <c r="C220" s="285"/>
      <c r="D220" s="285"/>
    </row>
    <row r="221" spans="2:4">
      <c r="B221" s="285"/>
      <c r="C221" s="285"/>
      <c r="D221" s="285"/>
    </row>
    <row r="222" spans="2:4">
      <c r="B222" s="285"/>
      <c r="C222" s="285"/>
      <c r="D222" s="285"/>
    </row>
    <row r="223" spans="2:4">
      <c r="B223" s="285"/>
      <c r="C223" s="285"/>
      <c r="D223" s="285"/>
    </row>
    <row r="224" spans="2:4">
      <c r="B224" s="285"/>
      <c r="C224" s="285"/>
      <c r="D224" s="285"/>
    </row>
    <row r="225" spans="2:4">
      <c r="B225" s="285"/>
      <c r="C225" s="285"/>
      <c r="D225" s="285"/>
    </row>
    <row r="226" spans="2:4">
      <c r="B226" s="285"/>
      <c r="C226" s="285"/>
      <c r="D226" s="285"/>
    </row>
    <row r="227" spans="2:4">
      <c r="B227" s="285"/>
      <c r="C227" s="285"/>
      <c r="D227" s="285"/>
    </row>
    <row r="228" spans="2:4">
      <c r="B228" s="285"/>
      <c r="C228" s="285"/>
      <c r="D228" s="285"/>
    </row>
    <row r="229" spans="2:4">
      <c r="B229" s="285"/>
      <c r="C229" s="285"/>
      <c r="D229" s="285"/>
    </row>
    <row r="230" spans="2:4">
      <c r="B230" s="285"/>
      <c r="C230" s="285"/>
      <c r="D230" s="285"/>
    </row>
    <row r="231" spans="2:4">
      <c r="B231" s="285"/>
      <c r="C231" s="285"/>
      <c r="D231" s="285"/>
    </row>
    <row r="232" spans="2:4">
      <c r="B232" s="285"/>
      <c r="C232" s="285"/>
      <c r="D232" s="285"/>
    </row>
    <row r="233" spans="2:4">
      <c r="B233" s="285"/>
      <c r="C233" s="285"/>
      <c r="D233" s="285"/>
    </row>
    <row r="234" spans="2:4">
      <c r="B234" s="285"/>
      <c r="C234" s="285"/>
      <c r="D234" s="285"/>
    </row>
    <row r="235" spans="2:4">
      <c r="B235" s="285"/>
      <c r="C235" s="285"/>
      <c r="D235" s="285"/>
    </row>
    <row r="236" spans="2:4">
      <c r="B236" s="285"/>
      <c r="C236" s="285"/>
      <c r="D236" s="285"/>
    </row>
    <row r="237" spans="2:4">
      <c r="B237" s="285"/>
      <c r="C237" s="285"/>
      <c r="D237" s="285"/>
    </row>
    <row r="238" spans="2:4">
      <c r="B238" s="285"/>
      <c r="C238" s="285"/>
      <c r="D238" s="285"/>
    </row>
    <row r="239" spans="2:4">
      <c r="B239" s="285"/>
      <c r="C239" s="285"/>
      <c r="D239" s="285"/>
    </row>
    <row r="240" spans="2:4">
      <c r="B240" s="285"/>
      <c r="C240" s="285"/>
      <c r="D240" s="285"/>
    </row>
    <row r="241" spans="2:4">
      <c r="B241" s="285"/>
      <c r="C241" s="285"/>
      <c r="D241" s="285"/>
    </row>
    <row r="242" spans="2:4">
      <c r="B242" s="285"/>
      <c r="C242" s="285"/>
      <c r="D242" s="285"/>
    </row>
    <row r="243" spans="2:4">
      <c r="B243" s="285"/>
      <c r="C243" s="285"/>
      <c r="D243" s="285"/>
    </row>
    <row r="244" spans="2:4">
      <c r="B244" s="285"/>
      <c r="C244" s="285"/>
      <c r="D244" s="285"/>
    </row>
    <row r="245" spans="2:4">
      <c r="B245" s="285"/>
      <c r="C245" s="285"/>
      <c r="D245" s="285"/>
    </row>
    <row r="246" spans="2:4">
      <c r="B246" s="285"/>
      <c r="C246" s="285"/>
      <c r="D246" s="285"/>
    </row>
    <row r="247" spans="2:4">
      <c r="B247" s="285"/>
      <c r="C247" s="285"/>
      <c r="D247" s="285"/>
    </row>
    <row r="248" spans="2:4">
      <c r="B248" s="285"/>
      <c r="C248" s="285"/>
      <c r="D248" s="285"/>
    </row>
    <row r="249" spans="2:4">
      <c r="B249" s="285"/>
      <c r="C249" s="285"/>
      <c r="D249" s="285"/>
    </row>
    <row r="250" spans="2:4">
      <c r="B250" s="285"/>
      <c r="C250" s="285"/>
      <c r="D250" s="285"/>
    </row>
    <row r="251" spans="2:4">
      <c r="B251" s="285"/>
      <c r="C251" s="285"/>
      <c r="D251" s="285"/>
    </row>
    <row r="252" spans="2:4">
      <c r="B252" s="285"/>
      <c r="C252" s="285"/>
      <c r="D252" s="285"/>
    </row>
    <row r="253" spans="2:4">
      <c r="B253" s="285"/>
      <c r="C253" s="285"/>
      <c r="D253" s="285"/>
    </row>
    <row r="254" spans="2:4">
      <c r="B254" s="285"/>
      <c r="C254" s="285"/>
      <c r="D254" s="285"/>
    </row>
    <row r="255" spans="2:4">
      <c r="B255" s="285"/>
      <c r="C255" s="285"/>
      <c r="D255" s="285"/>
    </row>
    <row r="256" spans="2:4">
      <c r="B256" s="285"/>
      <c r="C256" s="285"/>
      <c r="D256" s="285"/>
    </row>
    <row r="257" spans="2:4">
      <c r="B257" s="285"/>
      <c r="C257" s="285"/>
      <c r="D257" s="285"/>
    </row>
    <row r="258" spans="2:4">
      <c r="B258" s="285"/>
      <c r="C258" s="285"/>
      <c r="D258" s="285"/>
    </row>
    <row r="259" spans="2:4">
      <c r="B259" s="285"/>
      <c r="C259" s="285"/>
      <c r="D259" s="285"/>
    </row>
    <row r="260" spans="2:4">
      <c r="B260" s="285"/>
      <c r="C260" s="285"/>
      <c r="D260" s="285"/>
    </row>
    <row r="261" spans="2:4">
      <c r="B261" s="285"/>
      <c r="C261" s="285"/>
      <c r="D261" s="285"/>
    </row>
    <row r="262" spans="2:4">
      <c r="B262" s="285"/>
      <c r="C262" s="285"/>
      <c r="D262" s="285"/>
    </row>
    <row r="263" spans="2:4">
      <c r="B263" s="285"/>
      <c r="C263" s="285"/>
      <c r="D263" s="285"/>
    </row>
    <row r="264" spans="2:4">
      <c r="B264" s="285"/>
      <c r="C264" s="285"/>
      <c r="D264" s="285"/>
    </row>
    <row r="265" spans="2:4">
      <c r="B265" s="285"/>
      <c r="C265" s="285"/>
      <c r="D265" s="285"/>
    </row>
    <row r="266" spans="2:4">
      <c r="B266" s="285"/>
      <c r="C266" s="285"/>
      <c r="D266" s="285"/>
    </row>
    <row r="267" spans="2:4">
      <c r="B267" s="285"/>
      <c r="C267" s="285"/>
      <c r="D267" s="285"/>
    </row>
    <row r="268" spans="2:4">
      <c r="B268" s="285"/>
      <c r="C268" s="285"/>
      <c r="D268" s="285"/>
    </row>
    <row r="269" spans="2:4">
      <c r="B269" s="285"/>
      <c r="C269" s="285"/>
      <c r="D269" s="285"/>
    </row>
    <row r="270" spans="2:4">
      <c r="B270" s="285"/>
      <c r="C270" s="285"/>
      <c r="D270" s="285"/>
    </row>
    <row r="271" spans="2:4">
      <c r="B271" s="285"/>
      <c r="C271" s="285"/>
      <c r="D271" s="285"/>
    </row>
    <row r="272" spans="2:4">
      <c r="B272" s="285"/>
      <c r="C272" s="285"/>
      <c r="D272" s="285"/>
    </row>
    <row r="273" spans="2:4">
      <c r="B273" s="285"/>
      <c r="C273" s="285"/>
      <c r="D273" s="285"/>
    </row>
    <row r="274" spans="2:4">
      <c r="B274" s="285"/>
      <c r="C274" s="285"/>
      <c r="D274" s="285"/>
    </row>
    <row r="275" spans="2:4">
      <c r="B275" s="285"/>
      <c r="C275" s="285"/>
      <c r="D275" s="285"/>
    </row>
    <row r="276" spans="2:4">
      <c r="B276" s="285"/>
      <c r="C276" s="285"/>
      <c r="D276" s="285"/>
    </row>
    <row r="277" spans="2:4">
      <c r="B277" s="285"/>
      <c r="C277" s="285"/>
      <c r="D277" s="285"/>
    </row>
    <row r="278" spans="2:4">
      <c r="B278" s="285"/>
      <c r="C278" s="285"/>
      <c r="D278" s="285"/>
    </row>
    <row r="279" spans="2:4">
      <c r="B279" s="285"/>
      <c r="C279" s="285"/>
      <c r="D279" s="285"/>
    </row>
    <row r="280" spans="2:4">
      <c r="B280" s="285"/>
      <c r="C280" s="285"/>
      <c r="D280" s="285"/>
    </row>
    <row r="281" spans="2:4">
      <c r="B281" s="285"/>
      <c r="C281" s="285"/>
      <c r="D281" s="285"/>
    </row>
    <row r="282" spans="2:4">
      <c r="B282" s="285"/>
      <c r="C282" s="285"/>
      <c r="D282" s="285"/>
    </row>
    <row r="283" spans="2:4">
      <c r="B283" s="285"/>
      <c r="C283" s="285"/>
      <c r="D283" s="285"/>
    </row>
    <row r="284" spans="2:4">
      <c r="B284" s="285"/>
      <c r="C284" s="285"/>
      <c r="D284" s="285"/>
    </row>
    <row r="285" spans="2:4">
      <c r="B285" s="285"/>
      <c r="C285" s="285"/>
      <c r="D285" s="285"/>
    </row>
    <row r="286" spans="2:4">
      <c r="B286" s="285"/>
      <c r="C286" s="285"/>
      <c r="D286" s="285"/>
    </row>
    <row r="287" spans="2:4">
      <c r="B287" s="285"/>
      <c r="C287" s="285"/>
      <c r="D287" s="285"/>
    </row>
    <row r="288" spans="2:4">
      <c r="B288" s="285"/>
      <c r="C288" s="285"/>
      <c r="D288" s="285"/>
    </row>
    <row r="289" spans="2:4">
      <c r="B289" s="285"/>
      <c r="C289" s="285"/>
      <c r="D289" s="285"/>
    </row>
    <row r="290" spans="2:4">
      <c r="B290" s="285"/>
      <c r="C290" s="285"/>
      <c r="D290" s="285"/>
    </row>
    <row r="291" spans="2:4">
      <c r="B291" s="285"/>
      <c r="C291" s="285"/>
      <c r="D291" s="285"/>
    </row>
    <row r="292" spans="2:4">
      <c r="B292" s="285"/>
      <c r="C292" s="285"/>
      <c r="D292" s="285"/>
    </row>
    <row r="293" spans="2:4">
      <c r="B293" s="285"/>
      <c r="C293" s="285"/>
      <c r="D293" s="285"/>
    </row>
    <row r="294" spans="2:4">
      <c r="B294" s="285"/>
      <c r="C294" s="285"/>
      <c r="D294" s="285"/>
    </row>
    <row r="295" spans="2:4">
      <c r="B295" s="285"/>
      <c r="C295" s="285"/>
      <c r="D295" s="285"/>
    </row>
    <row r="296" spans="2:4">
      <c r="B296" s="285"/>
      <c r="C296" s="285"/>
      <c r="D296" s="285"/>
    </row>
    <row r="297" spans="2:4">
      <c r="B297" s="285"/>
      <c r="C297" s="285"/>
      <c r="D297" s="285"/>
    </row>
    <row r="298" spans="2:4">
      <c r="B298" s="285"/>
      <c r="C298" s="285"/>
      <c r="D298" s="285"/>
    </row>
    <row r="299" spans="2:4">
      <c r="B299" s="285"/>
      <c r="C299" s="285"/>
      <c r="D299" s="285"/>
    </row>
    <row r="300" spans="2:4">
      <c r="B300" s="285"/>
      <c r="C300" s="285"/>
      <c r="D300" s="285"/>
    </row>
    <row r="301" spans="2:4">
      <c r="B301" s="285"/>
      <c r="C301" s="285"/>
      <c r="D301" s="285"/>
    </row>
    <row r="302" spans="2:4">
      <c r="B302" s="285"/>
      <c r="C302" s="285"/>
      <c r="D302" s="285"/>
    </row>
    <row r="303" spans="2:4">
      <c r="B303" s="285"/>
      <c r="C303" s="285"/>
      <c r="D303" s="285"/>
    </row>
    <row r="304" spans="2:4">
      <c r="B304" s="285"/>
      <c r="C304" s="285"/>
      <c r="D304" s="285"/>
    </row>
    <row r="305" spans="2:4">
      <c r="B305" s="285"/>
      <c r="C305" s="285"/>
      <c r="D305" s="285"/>
    </row>
    <row r="306" spans="2:4">
      <c r="B306" s="285"/>
      <c r="C306" s="285"/>
      <c r="D306" s="285"/>
    </row>
    <row r="307" spans="2:4">
      <c r="B307" s="285"/>
      <c r="C307" s="285"/>
      <c r="D307" s="285"/>
    </row>
    <row r="308" spans="2:4">
      <c r="B308" s="285"/>
      <c r="C308" s="285"/>
      <c r="D308" s="285"/>
    </row>
    <row r="309" spans="2:4">
      <c r="B309" s="285"/>
      <c r="C309" s="285"/>
      <c r="D309" s="285"/>
    </row>
    <row r="310" spans="2:4">
      <c r="B310" s="285"/>
      <c r="C310" s="285"/>
      <c r="D310" s="285"/>
    </row>
    <row r="311" spans="2:4">
      <c r="B311" s="285"/>
      <c r="C311" s="285"/>
      <c r="D311" s="285"/>
    </row>
    <row r="312" spans="2:4">
      <c r="B312" s="285"/>
      <c r="C312" s="285"/>
      <c r="D312" s="285"/>
    </row>
    <row r="313" spans="2:4">
      <c r="B313" s="285"/>
      <c r="C313" s="285"/>
      <c r="D313" s="285"/>
    </row>
    <row r="314" spans="2:4">
      <c r="B314" s="285"/>
      <c r="C314" s="285"/>
      <c r="D314" s="285"/>
    </row>
    <row r="315" spans="2:4">
      <c r="B315" s="285"/>
      <c r="C315" s="285"/>
      <c r="D315" s="285"/>
    </row>
    <row r="316" spans="2:4">
      <c r="B316" s="285"/>
      <c r="C316" s="285"/>
      <c r="D316" s="285"/>
    </row>
    <row r="317" spans="2:4">
      <c r="B317" s="285"/>
      <c r="C317" s="285"/>
      <c r="D317" s="285"/>
    </row>
    <row r="318" spans="2:4">
      <c r="B318" s="285"/>
      <c r="C318" s="285"/>
      <c r="D318" s="285"/>
    </row>
    <row r="319" spans="2:4">
      <c r="B319" s="285"/>
      <c r="C319" s="285"/>
      <c r="D319" s="285"/>
    </row>
    <row r="320" spans="2:4">
      <c r="B320" s="285"/>
      <c r="C320" s="285"/>
      <c r="D320" s="285"/>
    </row>
    <row r="321" spans="2:4">
      <c r="B321" s="285"/>
      <c r="C321" s="285"/>
      <c r="D321" s="285"/>
    </row>
    <row r="322" spans="2:4">
      <c r="B322" s="285"/>
      <c r="C322" s="285"/>
      <c r="D322" s="285"/>
    </row>
    <row r="323" spans="2:4">
      <c r="B323" s="285"/>
      <c r="C323" s="285"/>
      <c r="D323" s="285"/>
    </row>
    <row r="324" spans="2:4">
      <c r="B324" s="285"/>
      <c r="C324" s="285"/>
      <c r="D324" s="285"/>
    </row>
    <row r="325" spans="2:4">
      <c r="B325" s="285"/>
      <c r="C325" s="285"/>
      <c r="D325" s="285"/>
    </row>
    <row r="326" spans="2:4">
      <c r="B326" s="285"/>
      <c r="C326" s="285"/>
      <c r="D326" s="285"/>
    </row>
    <row r="327" spans="2:4">
      <c r="B327" s="285"/>
      <c r="C327" s="285"/>
      <c r="D327" s="285"/>
    </row>
    <row r="328" spans="2:4">
      <c r="B328" s="285"/>
      <c r="C328" s="285"/>
      <c r="D328" s="285"/>
    </row>
    <row r="329" spans="2:4">
      <c r="B329" s="285"/>
      <c r="C329" s="285"/>
      <c r="D329" s="285"/>
    </row>
    <row r="330" spans="2:4">
      <c r="B330" s="285"/>
      <c r="C330" s="285"/>
      <c r="D330" s="285"/>
    </row>
    <row r="331" spans="2:4">
      <c r="B331" s="285"/>
      <c r="C331" s="285"/>
      <c r="D331" s="285"/>
    </row>
    <row r="332" spans="2:4">
      <c r="B332" s="285"/>
      <c r="C332" s="285"/>
      <c r="D332" s="285"/>
    </row>
    <row r="333" spans="2:4">
      <c r="B333" s="285"/>
      <c r="C333" s="285"/>
      <c r="D333" s="285"/>
    </row>
    <row r="334" spans="2:4">
      <c r="B334" s="285"/>
      <c r="C334" s="285"/>
      <c r="D334" s="285"/>
    </row>
    <row r="335" spans="2:4">
      <c r="B335" s="285"/>
      <c r="C335" s="285"/>
      <c r="D335" s="285"/>
    </row>
    <row r="336" spans="2:4">
      <c r="B336" s="285"/>
      <c r="C336" s="285"/>
      <c r="D336" s="285"/>
    </row>
    <row r="337" spans="2:4">
      <c r="B337" s="285"/>
      <c r="C337" s="285"/>
      <c r="D337" s="285"/>
    </row>
    <row r="338" spans="2:4">
      <c r="B338" s="285"/>
      <c r="C338" s="285"/>
      <c r="D338" s="285"/>
    </row>
    <row r="339" spans="2:4">
      <c r="B339" s="285"/>
      <c r="C339" s="285"/>
      <c r="D339" s="285"/>
    </row>
    <row r="340" spans="2:4">
      <c r="B340" s="285"/>
      <c r="C340" s="285"/>
      <c r="D340" s="285"/>
    </row>
    <row r="341" spans="2:4">
      <c r="B341" s="285"/>
      <c r="C341" s="285"/>
      <c r="D341" s="285"/>
    </row>
    <row r="342" spans="2:4">
      <c r="B342" s="285"/>
      <c r="C342" s="285"/>
      <c r="D342" s="285"/>
    </row>
    <row r="343" spans="2:4">
      <c r="B343" s="285"/>
      <c r="C343" s="285"/>
      <c r="D343" s="285"/>
    </row>
    <row r="344" spans="2:4">
      <c r="B344" s="285"/>
      <c r="C344" s="285"/>
      <c r="D344" s="285"/>
    </row>
    <row r="345" spans="2:4">
      <c r="B345" s="285"/>
      <c r="C345" s="285"/>
      <c r="D345" s="285"/>
    </row>
    <row r="346" spans="2:4">
      <c r="B346" s="285"/>
      <c r="C346" s="285"/>
      <c r="D346" s="285"/>
    </row>
    <row r="347" spans="2:4">
      <c r="B347" s="285"/>
      <c r="C347" s="285"/>
      <c r="D347" s="285"/>
    </row>
    <row r="348" spans="2:4">
      <c r="B348" s="285"/>
      <c r="C348" s="285"/>
      <c r="D348" s="285"/>
    </row>
    <row r="349" spans="2:4">
      <c r="B349" s="285"/>
      <c r="C349" s="285"/>
      <c r="D349" s="285"/>
    </row>
    <row r="350" spans="2:4">
      <c r="B350" s="285"/>
      <c r="C350" s="285"/>
      <c r="D350" s="285"/>
    </row>
    <row r="351" spans="2:4">
      <c r="B351" s="285"/>
      <c r="C351" s="285"/>
      <c r="D351" s="285"/>
    </row>
    <row r="352" spans="2:4">
      <c r="B352" s="285"/>
      <c r="C352" s="285"/>
      <c r="D352" s="285"/>
    </row>
    <row r="353" spans="2:4">
      <c r="B353" s="285"/>
      <c r="C353" s="285"/>
      <c r="D353" s="285"/>
    </row>
    <row r="354" spans="2:4">
      <c r="B354" s="285"/>
      <c r="C354" s="285"/>
      <c r="D354" s="285"/>
    </row>
    <row r="355" spans="2:4">
      <c r="B355" s="285"/>
      <c r="C355" s="285"/>
      <c r="D355" s="285"/>
    </row>
    <row r="356" spans="2:4">
      <c r="B356" s="285"/>
      <c r="C356" s="285"/>
      <c r="D356" s="285"/>
    </row>
    <row r="357" spans="2:4">
      <c r="B357" s="285"/>
      <c r="C357" s="285"/>
      <c r="D357" s="285"/>
    </row>
    <row r="358" spans="2:4">
      <c r="B358" s="285"/>
      <c r="C358" s="285"/>
      <c r="D358" s="285"/>
    </row>
    <row r="359" spans="2:4">
      <c r="B359" s="285"/>
      <c r="C359" s="285"/>
      <c r="D359" s="285"/>
    </row>
    <row r="360" spans="2:4">
      <c r="B360" s="285"/>
      <c r="C360" s="285"/>
      <c r="D360" s="285"/>
    </row>
    <row r="361" spans="2:4">
      <c r="B361" s="285"/>
      <c r="C361" s="285"/>
      <c r="D361" s="285"/>
    </row>
    <row r="362" spans="2:4">
      <c r="B362" s="285"/>
      <c r="C362" s="285"/>
      <c r="D362" s="285"/>
    </row>
    <row r="363" spans="2:4">
      <c r="B363" s="285"/>
      <c r="C363" s="285"/>
      <c r="D363" s="285"/>
    </row>
    <row r="364" spans="2:4">
      <c r="B364" s="285"/>
      <c r="C364" s="285"/>
      <c r="D364" s="285"/>
    </row>
    <row r="365" spans="2:4">
      <c r="B365" s="285"/>
      <c r="C365" s="285"/>
      <c r="D365" s="285"/>
    </row>
    <row r="366" spans="2:4">
      <c r="B366" s="285"/>
      <c r="C366" s="285"/>
      <c r="D366" s="285"/>
    </row>
    <row r="367" spans="2:4">
      <c r="B367" s="285"/>
      <c r="C367" s="285"/>
      <c r="D367" s="285"/>
    </row>
    <row r="368" spans="2:4">
      <c r="B368" s="285"/>
      <c r="C368" s="285"/>
      <c r="D368" s="285"/>
    </row>
    <row r="369" spans="2:4">
      <c r="B369" s="285"/>
      <c r="C369" s="285"/>
      <c r="D369" s="285"/>
    </row>
    <row r="370" spans="2:4">
      <c r="B370" s="285"/>
      <c r="C370" s="285"/>
      <c r="D370" s="285"/>
    </row>
    <row r="371" spans="2:4">
      <c r="B371" s="285"/>
      <c r="C371" s="285"/>
      <c r="D371" s="285"/>
    </row>
    <row r="372" spans="2:4">
      <c r="B372" s="285"/>
      <c r="C372" s="285"/>
      <c r="D372" s="285"/>
    </row>
    <row r="373" spans="2:4">
      <c r="B373" s="285"/>
      <c r="C373" s="285"/>
      <c r="D373" s="285"/>
    </row>
    <row r="374" spans="2:4">
      <c r="B374" s="285"/>
      <c r="C374" s="285"/>
      <c r="D374" s="285"/>
    </row>
    <row r="375" spans="2:4">
      <c r="B375" s="285"/>
      <c r="C375" s="285"/>
      <c r="D375" s="285"/>
    </row>
    <row r="376" spans="2:4">
      <c r="B376" s="285"/>
      <c r="C376" s="285"/>
      <c r="D376" s="285"/>
    </row>
    <row r="377" spans="2:4">
      <c r="B377" s="285"/>
      <c r="C377" s="285"/>
      <c r="D377" s="285"/>
    </row>
    <row r="378" spans="2:4">
      <c r="B378" s="285"/>
      <c r="C378" s="285"/>
      <c r="D378" s="285"/>
    </row>
    <row r="379" spans="2:4">
      <c r="B379" s="285"/>
      <c r="C379" s="285"/>
      <c r="D379" s="285"/>
    </row>
    <row r="380" spans="2:4">
      <c r="B380" s="285"/>
      <c r="C380" s="285"/>
      <c r="D380" s="285"/>
    </row>
    <row r="381" spans="2:4">
      <c r="B381" s="285"/>
      <c r="C381" s="285"/>
      <c r="D381" s="285"/>
    </row>
    <row r="382" spans="2:4">
      <c r="B382" s="285"/>
      <c r="C382" s="285"/>
      <c r="D382" s="285"/>
    </row>
    <row r="383" spans="2:4">
      <c r="B383" s="285"/>
      <c r="C383" s="285"/>
      <c r="D383" s="285"/>
    </row>
    <row r="384" spans="2:4">
      <c r="B384" s="285"/>
      <c r="C384" s="285"/>
      <c r="D384" s="285"/>
    </row>
    <row r="385" spans="2:4">
      <c r="B385" s="285"/>
      <c r="C385" s="285"/>
      <c r="D385" s="285"/>
    </row>
    <row r="386" spans="2:4">
      <c r="B386" s="285"/>
      <c r="C386" s="285"/>
      <c r="D386" s="285"/>
    </row>
    <row r="387" spans="2:4">
      <c r="B387" s="285"/>
      <c r="C387" s="285"/>
      <c r="D387" s="285"/>
    </row>
    <row r="388" spans="2:4">
      <c r="B388" s="285"/>
      <c r="C388" s="285"/>
      <c r="D388" s="285"/>
    </row>
    <row r="389" spans="2:4">
      <c r="B389" s="285"/>
      <c r="C389" s="285"/>
      <c r="D389" s="285"/>
    </row>
    <row r="390" spans="2:4">
      <c r="B390" s="285"/>
      <c r="C390" s="285"/>
      <c r="D390" s="285"/>
    </row>
    <row r="391" spans="2:4">
      <c r="B391" s="285"/>
      <c r="C391" s="285"/>
      <c r="D391" s="285"/>
    </row>
    <row r="392" spans="2:4">
      <c r="B392" s="285"/>
      <c r="C392" s="285"/>
      <c r="D392" s="285"/>
    </row>
    <row r="393" spans="2:4">
      <c r="B393" s="285"/>
      <c r="C393" s="285"/>
      <c r="D393" s="285"/>
    </row>
    <row r="394" spans="2:4">
      <c r="B394" s="285"/>
      <c r="C394" s="285"/>
      <c r="D394" s="285"/>
    </row>
    <row r="395" spans="2:4">
      <c r="B395" s="285"/>
      <c r="C395" s="285"/>
      <c r="D395" s="285"/>
    </row>
    <row r="396" spans="2:4">
      <c r="B396" s="285"/>
      <c r="C396" s="285"/>
      <c r="D396" s="285"/>
    </row>
    <row r="397" spans="2:4">
      <c r="B397" s="285"/>
      <c r="C397" s="285"/>
      <c r="D397" s="285"/>
    </row>
    <row r="398" spans="2:4">
      <c r="B398" s="285"/>
      <c r="C398" s="285"/>
      <c r="D398" s="285"/>
    </row>
    <row r="399" spans="2:4">
      <c r="B399" s="285"/>
      <c r="C399" s="285"/>
      <c r="D399" s="285"/>
    </row>
    <row r="400" spans="2:4">
      <c r="B400" s="285"/>
      <c r="C400" s="285"/>
      <c r="D400" s="285"/>
    </row>
    <row r="401" spans="2:4">
      <c r="B401" s="285"/>
      <c r="C401" s="285"/>
      <c r="D401" s="285"/>
    </row>
    <row r="402" spans="2:4">
      <c r="B402" s="285"/>
      <c r="C402" s="285"/>
      <c r="D402" s="285"/>
    </row>
    <row r="403" spans="2:4">
      <c r="B403" s="285"/>
      <c r="C403" s="285"/>
      <c r="D403" s="285"/>
    </row>
    <row r="404" spans="2:4">
      <c r="B404" s="285"/>
      <c r="C404" s="285"/>
      <c r="D404" s="285"/>
    </row>
    <row r="405" spans="2:4">
      <c r="B405" s="285"/>
      <c r="C405" s="285"/>
      <c r="D405" s="285"/>
    </row>
    <row r="406" spans="2:4">
      <c r="B406" s="285"/>
      <c r="C406" s="285"/>
      <c r="D406" s="285"/>
    </row>
    <row r="407" spans="2:4">
      <c r="B407" s="285"/>
      <c r="C407" s="285"/>
      <c r="D407" s="285"/>
    </row>
    <row r="408" spans="2:4">
      <c r="B408" s="285"/>
      <c r="C408" s="285"/>
      <c r="D408" s="285"/>
    </row>
    <row r="409" spans="2:4">
      <c r="B409" s="285"/>
      <c r="C409" s="285"/>
      <c r="D409" s="285"/>
    </row>
    <row r="410" spans="2:4">
      <c r="B410" s="285"/>
      <c r="C410" s="285"/>
      <c r="D410" s="285"/>
    </row>
    <row r="411" spans="2:4">
      <c r="B411" s="285"/>
      <c r="C411" s="285"/>
      <c r="D411" s="285"/>
    </row>
    <row r="412" spans="2:4">
      <c r="B412" s="285"/>
      <c r="C412" s="285"/>
      <c r="D412" s="285"/>
    </row>
    <row r="413" spans="2:4">
      <c r="B413" s="285"/>
      <c r="C413" s="285"/>
      <c r="D413" s="285"/>
    </row>
    <row r="414" spans="2:4">
      <c r="B414" s="285"/>
      <c r="C414" s="285"/>
      <c r="D414" s="285"/>
    </row>
    <row r="415" spans="2:4">
      <c r="B415" s="285"/>
      <c r="C415" s="285"/>
      <c r="D415" s="285"/>
    </row>
    <row r="416" spans="2:4">
      <c r="B416" s="285"/>
      <c r="C416" s="285"/>
      <c r="D416" s="285"/>
    </row>
    <row r="417" spans="2:4">
      <c r="B417" s="285"/>
      <c r="C417" s="285"/>
      <c r="D417" s="285"/>
    </row>
    <row r="418" spans="2:4">
      <c r="B418" s="285"/>
      <c r="C418" s="285"/>
      <c r="D418" s="285"/>
    </row>
    <row r="419" spans="2:4">
      <c r="B419" s="285"/>
      <c r="C419" s="285"/>
      <c r="D419" s="285"/>
    </row>
    <row r="420" spans="2:4">
      <c r="B420" s="285"/>
      <c r="C420" s="285"/>
      <c r="D420" s="285"/>
    </row>
    <row r="421" spans="2:4">
      <c r="B421" s="285"/>
      <c r="C421" s="285"/>
      <c r="D421" s="285"/>
    </row>
    <row r="422" spans="2:4">
      <c r="B422" s="285"/>
      <c r="C422" s="285"/>
      <c r="D422" s="285"/>
    </row>
    <row r="423" spans="2:4">
      <c r="B423" s="285"/>
      <c r="C423" s="285"/>
      <c r="D423" s="285"/>
    </row>
    <row r="424" spans="2:4">
      <c r="B424" s="285"/>
      <c r="C424" s="285"/>
      <c r="D424" s="285"/>
    </row>
    <row r="425" spans="2:4">
      <c r="B425" s="285"/>
      <c r="C425" s="285"/>
      <c r="D425" s="285"/>
    </row>
    <row r="426" spans="2:4">
      <c r="B426" s="285"/>
      <c r="C426" s="285"/>
      <c r="D426" s="285"/>
    </row>
    <row r="427" spans="2:4">
      <c r="B427" s="285"/>
      <c r="C427" s="285"/>
      <c r="D427" s="285"/>
    </row>
    <row r="428" spans="2:4">
      <c r="B428" s="285"/>
      <c r="C428" s="285"/>
      <c r="D428" s="285"/>
    </row>
    <row r="429" spans="2:4">
      <c r="B429" s="285"/>
      <c r="C429" s="285"/>
      <c r="D429" s="285"/>
    </row>
    <row r="430" spans="2:4">
      <c r="B430" s="285"/>
      <c r="C430" s="285"/>
      <c r="D430" s="285"/>
    </row>
    <row r="431" spans="2:4">
      <c r="B431" s="285"/>
      <c r="C431" s="285"/>
      <c r="D431" s="285"/>
    </row>
    <row r="432" spans="2:4">
      <c r="B432" s="285"/>
      <c r="C432" s="285"/>
      <c r="D432" s="285"/>
    </row>
    <row r="433" spans="2:4">
      <c r="B433" s="285"/>
      <c r="C433" s="285"/>
      <c r="D433" s="285"/>
    </row>
    <row r="434" spans="2:4">
      <c r="B434" s="285"/>
      <c r="C434" s="285"/>
      <c r="D434" s="285"/>
    </row>
    <row r="435" spans="2:4">
      <c r="B435" s="285"/>
      <c r="C435" s="285"/>
      <c r="D435" s="285"/>
    </row>
    <row r="436" spans="2:4">
      <c r="B436" s="285"/>
      <c r="C436" s="285"/>
      <c r="D436" s="285"/>
    </row>
    <row r="437" spans="2:4">
      <c r="B437" s="285"/>
      <c r="C437" s="285"/>
      <c r="D437" s="285"/>
    </row>
    <row r="438" spans="2:4">
      <c r="B438" s="285"/>
      <c r="C438" s="285"/>
      <c r="D438" s="285"/>
    </row>
    <row r="439" spans="2:4">
      <c r="B439" s="285"/>
      <c r="C439" s="285"/>
      <c r="D439" s="285"/>
    </row>
    <row r="440" spans="2:4">
      <c r="B440" s="285"/>
      <c r="C440" s="285"/>
      <c r="D440" s="285"/>
    </row>
    <row r="441" spans="2:4">
      <c r="B441" s="285"/>
      <c r="C441" s="285"/>
      <c r="D441" s="285"/>
    </row>
    <row r="442" spans="2:4">
      <c r="B442" s="285"/>
      <c r="C442" s="285"/>
      <c r="D442" s="285"/>
    </row>
    <row r="443" spans="2:4">
      <c r="B443" s="285"/>
      <c r="C443" s="285"/>
      <c r="D443" s="285"/>
    </row>
    <row r="444" spans="2:4">
      <c r="B444" s="285"/>
      <c r="C444" s="285"/>
      <c r="D444" s="285"/>
    </row>
    <row r="445" spans="2:4">
      <c r="B445" s="285"/>
      <c r="C445" s="285"/>
      <c r="D445" s="285"/>
    </row>
    <row r="446" spans="2:4">
      <c r="B446" s="285"/>
      <c r="C446" s="285"/>
      <c r="D446" s="285"/>
    </row>
    <row r="447" spans="2:4">
      <c r="B447" s="285"/>
      <c r="C447" s="285"/>
      <c r="D447" s="285"/>
    </row>
    <row r="448" spans="2:4">
      <c r="B448" s="285"/>
      <c r="C448" s="285"/>
      <c r="D448" s="285"/>
    </row>
    <row r="449" spans="2:4">
      <c r="B449" s="285"/>
      <c r="C449" s="285"/>
      <c r="D449" s="285"/>
    </row>
    <row r="450" spans="2:4">
      <c r="B450" s="285"/>
      <c r="C450" s="285"/>
      <c r="D450" s="285"/>
    </row>
    <row r="451" spans="2:4">
      <c r="B451" s="285"/>
      <c r="C451" s="285"/>
      <c r="D451" s="285"/>
    </row>
    <row r="452" spans="2:4">
      <c r="B452" s="285"/>
      <c r="C452" s="285"/>
      <c r="D452" s="285"/>
    </row>
    <row r="453" spans="2:4">
      <c r="B453" s="285"/>
      <c r="C453" s="285"/>
      <c r="D453" s="285"/>
    </row>
    <row r="454" spans="2:4">
      <c r="B454" s="285"/>
      <c r="C454" s="285"/>
      <c r="D454" s="285"/>
    </row>
    <row r="455" spans="2:4">
      <c r="B455" s="285"/>
      <c r="C455" s="285"/>
      <c r="D455" s="285"/>
    </row>
    <row r="456" spans="2:4">
      <c r="B456" s="285"/>
      <c r="C456" s="285"/>
      <c r="D456" s="285"/>
    </row>
    <row r="457" spans="2:4">
      <c r="B457" s="285"/>
      <c r="C457" s="285"/>
      <c r="D457" s="285"/>
    </row>
    <row r="458" spans="2:4">
      <c r="B458" s="285"/>
      <c r="C458" s="285"/>
      <c r="D458" s="285"/>
    </row>
    <row r="459" spans="2:4">
      <c r="B459" s="285"/>
      <c r="C459" s="285"/>
      <c r="D459" s="285"/>
    </row>
    <row r="460" spans="2:4">
      <c r="B460" s="285"/>
      <c r="C460" s="285"/>
      <c r="D460" s="285"/>
    </row>
    <row r="461" spans="2:4">
      <c r="B461" s="285"/>
      <c r="C461" s="285"/>
      <c r="D461" s="285"/>
    </row>
    <row r="462" spans="2:4">
      <c r="B462" s="285"/>
      <c r="C462" s="285"/>
      <c r="D462" s="285"/>
    </row>
    <row r="463" spans="2:4">
      <c r="B463" s="285"/>
      <c r="C463" s="285"/>
      <c r="D463" s="285"/>
    </row>
    <row r="464" spans="2:4">
      <c r="B464" s="285"/>
      <c r="C464" s="285"/>
      <c r="D464" s="285"/>
    </row>
    <row r="465" spans="2:4">
      <c r="B465" s="285"/>
      <c r="C465" s="285"/>
      <c r="D465" s="285"/>
    </row>
    <row r="466" spans="2:4">
      <c r="B466" s="285"/>
      <c r="C466" s="285"/>
      <c r="D466" s="285"/>
    </row>
    <row r="467" spans="2:4">
      <c r="B467" s="285"/>
      <c r="C467" s="285"/>
      <c r="D467" s="285"/>
    </row>
    <row r="468" spans="2:4">
      <c r="B468" s="285"/>
      <c r="C468" s="285"/>
      <c r="D468" s="285"/>
    </row>
    <row r="469" spans="2:4">
      <c r="B469" s="285"/>
      <c r="C469" s="285"/>
      <c r="D469" s="285"/>
    </row>
    <row r="470" spans="2:4">
      <c r="B470" s="285"/>
      <c r="C470" s="285"/>
      <c r="D470" s="285"/>
    </row>
    <row r="471" spans="2:4">
      <c r="B471" s="285"/>
      <c r="C471" s="285"/>
      <c r="D471" s="285"/>
    </row>
    <row r="472" spans="2:4">
      <c r="B472" s="285"/>
      <c r="C472" s="285"/>
      <c r="D472" s="285"/>
    </row>
    <row r="473" spans="2:4">
      <c r="B473" s="285"/>
      <c r="C473" s="285"/>
      <c r="D473" s="285"/>
    </row>
    <row r="474" spans="2:4">
      <c r="B474" s="285"/>
      <c r="C474" s="285"/>
      <c r="D474" s="285"/>
    </row>
    <row r="475" spans="2:4">
      <c r="B475" s="285"/>
      <c r="C475" s="285"/>
      <c r="D475" s="285"/>
    </row>
    <row r="476" spans="2:4">
      <c r="B476" s="285"/>
      <c r="C476" s="285"/>
      <c r="D476" s="285"/>
    </row>
    <row r="477" spans="2:4">
      <c r="B477" s="285"/>
      <c r="C477" s="285"/>
      <c r="D477" s="285"/>
    </row>
    <row r="478" spans="2:4">
      <c r="B478" s="285"/>
      <c r="C478" s="285"/>
      <c r="D478" s="285"/>
    </row>
    <row r="479" spans="2:4">
      <c r="B479" s="285"/>
      <c r="C479" s="285"/>
      <c r="D479" s="285"/>
    </row>
    <row r="480" spans="2:4">
      <c r="B480" s="285"/>
      <c r="C480" s="285"/>
      <c r="D480" s="285"/>
    </row>
    <row r="481" spans="2:4">
      <c r="B481" s="285"/>
      <c r="C481" s="285"/>
      <c r="D481" s="285"/>
    </row>
    <row r="482" spans="2:4">
      <c r="B482" s="285"/>
      <c r="C482" s="285"/>
      <c r="D482" s="285"/>
    </row>
  </sheetData>
  <sheetProtection algorithmName="SHA-512" hashValue="9pgHu72q/ngWI4InI2CgWBHzLjJHA7bl909zOFT27NRhPpVtxwR2wfzeDNiqS5Ke7X7rv9mBpVSut+AM70Shkg==" saltValue="qs39ADpdD1+UlKMF3ZY8ZA==" spinCount="100000" sheet="1" selectLockedCells="1" selectUnlockedCells="1"/>
  <mergeCells count="5">
    <mergeCell ref="B1:D1"/>
    <mergeCell ref="B4:F4"/>
    <mergeCell ref="D5:F5"/>
    <mergeCell ref="D7:F7"/>
    <mergeCell ref="D6:F6"/>
  </mergeCells>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AF23"/>
  <sheetViews>
    <sheetView showGridLines="0" showRowColHeaders="0" topLeftCell="B1" zoomScaleNormal="100" workbookViewId="0">
      <selection activeCell="B7" sqref="B7:J15"/>
    </sheetView>
  </sheetViews>
  <sheetFormatPr defaultColWidth="7.75" defaultRowHeight="13.9"/>
  <cols>
    <col min="1" max="1" width="3.25" style="147" hidden="1" customWidth="1"/>
    <col min="2" max="2" width="35.625" style="148" customWidth="1"/>
    <col min="3" max="3" width="3.25" style="148" customWidth="1"/>
    <col min="4" max="4" width="35.625" style="148" customWidth="1"/>
    <col min="5" max="5" width="3.25" style="148" customWidth="1"/>
    <col min="6" max="6" width="25.625" style="148" customWidth="1"/>
    <col min="7" max="7" width="3.25" style="148" customWidth="1"/>
    <col min="8" max="9" width="7.75" style="147"/>
    <col min="10" max="10" width="2.625" style="147" customWidth="1"/>
    <col min="11" max="32" width="7.75" style="147"/>
    <col min="33" max="16384" width="7.75" style="148"/>
  </cols>
  <sheetData>
    <row r="1" spans="1:10" ht="156" customHeight="1">
      <c r="A1" s="141"/>
      <c r="B1" s="141"/>
      <c r="C1" s="141"/>
      <c r="D1" s="141"/>
      <c r="E1" s="141"/>
      <c r="F1" s="141"/>
      <c r="G1" s="141"/>
    </row>
    <row r="2" spans="1:10" ht="19.5" customHeight="1">
      <c r="A2" s="141"/>
      <c r="B2" s="141"/>
      <c r="C2" s="141"/>
      <c r="D2" s="141"/>
      <c r="E2" s="141"/>
      <c r="F2" s="141"/>
      <c r="G2" s="141"/>
    </row>
    <row r="3" spans="1:10" ht="33.75" customHeight="1">
      <c r="A3" s="141"/>
      <c r="B3" s="149" t="s">
        <v>8</v>
      </c>
      <c r="C3" s="142"/>
      <c r="D3" s="142"/>
      <c r="E3" s="142"/>
      <c r="F3" s="142"/>
      <c r="G3" s="142"/>
      <c r="H3" s="142"/>
      <c r="I3" s="142"/>
      <c r="J3" s="142"/>
    </row>
    <row r="4" spans="1:10">
      <c r="A4" s="141"/>
      <c r="B4" s="144"/>
      <c r="C4" s="143"/>
      <c r="D4" s="143"/>
      <c r="E4" s="143"/>
      <c r="F4" s="143"/>
      <c r="G4" s="141"/>
    </row>
    <row r="5" spans="1:10" ht="187.5" customHeight="1">
      <c r="B5" s="402" t="s">
        <v>9</v>
      </c>
      <c r="C5" s="402"/>
      <c r="D5" s="402"/>
      <c r="E5" s="402"/>
      <c r="F5" s="402"/>
      <c r="G5" s="402"/>
      <c r="H5" s="402"/>
      <c r="I5" s="402"/>
      <c r="J5" s="402"/>
    </row>
    <row r="6" spans="1:10" ht="33.75" customHeight="1">
      <c r="A6" s="145"/>
      <c r="B6" s="150" t="s">
        <v>10</v>
      </c>
      <c r="C6" s="151"/>
      <c r="D6" s="151"/>
      <c r="E6" s="151"/>
      <c r="F6" s="151"/>
      <c r="G6" s="151"/>
      <c r="H6" s="403"/>
      <c r="I6" s="403"/>
      <c r="J6" s="403"/>
    </row>
    <row r="7" spans="1:10" ht="14.25" customHeight="1">
      <c r="A7" s="145"/>
      <c r="B7" s="402" t="s">
        <v>11</v>
      </c>
      <c r="C7" s="402"/>
      <c r="D7" s="402"/>
      <c r="E7" s="402"/>
      <c r="F7" s="402"/>
      <c r="G7" s="402"/>
      <c r="H7" s="402"/>
      <c r="I7" s="402"/>
      <c r="J7" s="402"/>
    </row>
    <row r="8" spans="1:10">
      <c r="A8" s="145"/>
      <c r="B8" s="402"/>
      <c r="C8" s="402"/>
      <c r="D8" s="402"/>
      <c r="E8" s="402"/>
      <c r="F8" s="402"/>
      <c r="G8" s="402"/>
      <c r="H8" s="402"/>
      <c r="I8" s="402"/>
      <c r="J8" s="402"/>
    </row>
    <row r="9" spans="1:10">
      <c r="A9" s="146"/>
      <c r="B9" s="402"/>
      <c r="C9" s="402"/>
      <c r="D9" s="402"/>
      <c r="E9" s="402"/>
      <c r="F9" s="402"/>
      <c r="G9" s="402"/>
      <c r="H9" s="402"/>
      <c r="I9" s="402"/>
      <c r="J9" s="402"/>
    </row>
    <row r="10" spans="1:10">
      <c r="A10" s="146"/>
      <c r="B10" s="402"/>
      <c r="C10" s="402"/>
      <c r="D10" s="402"/>
      <c r="E10" s="402"/>
      <c r="F10" s="402"/>
      <c r="G10" s="402"/>
      <c r="H10" s="402"/>
      <c r="I10" s="402"/>
      <c r="J10" s="402"/>
    </row>
    <row r="11" spans="1:10">
      <c r="A11" s="146"/>
      <c r="B11" s="402"/>
      <c r="C11" s="402"/>
      <c r="D11" s="402"/>
      <c r="E11" s="402"/>
      <c r="F11" s="402"/>
      <c r="G11" s="402"/>
      <c r="H11" s="402"/>
      <c r="I11" s="402"/>
      <c r="J11" s="402"/>
    </row>
    <row r="12" spans="1:10">
      <c r="A12" s="146"/>
      <c r="B12" s="402"/>
      <c r="C12" s="402"/>
      <c r="D12" s="402"/>
      <c r="E12" s="402"/>
      <c r="F12" s="402"/>
      <c r="G12" s="402"/>
      <c r="H12" s="402"/>
      <c r="I12" s="402"/>
      <c r="J12" s="402"/>
    </row>
    <row r="13" spans="1:10">
      <c r="A13" s="146"/>
      <c r="B13" s="402"/>
      <c r="C13" s="402"/>
      <c r="D13" s="402"/>
      <c r="E13" s="402"/>
      <c r="F13" s="402"/>
      <c r="G13" s="402"/>
      <c r="H13" s="402"/>
      <c r="I13" s="402"/>
      <c r="J13" s="402"/>
    </row>
    <row r="14" spans="1:10">
      <c r="A14" s="146"/>
      <c r="B14" s="402"/>
      <c r="C14" s="402"/>
      <c r="D14" s="402"/>
      <c r="E14" s="402"/>
      <c r="F14" s="402"/>
      <c r="G14" s="402"/>
      <c r="H14" s="402"/>
      <c r="I14" s="402"/>
      <c r="J14" s="402"/>
    </row>
    <row r="15" spans="1:10" ht="109.5" customHeight="1">
      <c r="A15" s="146"/>
      <c r="B15" s="402"/>
      <c r="C15" s="402"/>
      <c r="D15" s="402"/>
      <c r="E15" s="402"/>
      <c r="F15" s="402"/>
      <c r="G15" s="402"/>
      <c r="H15" s="402"/>
      <c r="I15" s="402"/>
      <c r="J15" s="402"/>
    </row>
    <row r="16" spans="1:10" ht="33.75" customHeight="1">
      <c r="A16" s="146"/>
      <c r="B16" s="400" t="s">
        <v>12</v>
      </c>
      <c r="C16" s="401"/>
      <c r="D16" s="401"/>
      <c r="E16" s="401"/>
      <c r="F16" s="401"/>
      <c r="G16" s="151"/>
      <c r="H16" s="403"/>
      <c r="I16" s="403"/>
      <c r="J16" s="403"/>
    </row>
    <row r="17" spans="1:10">
      <c r="A17" s="146"/>
      <c r="B17" s="146"/>
      <c r="C17" s="146"/>
      <c r="D17" s="146"/>
      <c r="E17" s="146"/>
      <c r="F17" s="146"/>
      <c r="G17" s="146"/>
    </row>
    <row r="18" spans="1:10" ht="132.75" customHeight="1">
      <c r="A18" s="146"/>
      <c r="B18" s="399" t="s">
        <v>13</v>
      </c>
      <c r="C18" s="399"/>
      <c r="D18" s="399"/>
      <c r="E18" s="399"/>
      <c r="F18" s="399"/>
      <c r="G18" s="399"/>
      <c r="H18" s="399"/>
      <c r="I18" s="399"/>
      <c r="J18" s="399"/>
    </row>
    <row r="19" spans="1:10">
      <c r="A19" s="146"/>
      <c r="B19" s="263"/>
      <c r="C19" s="146"/>
      <c r="D19" s="146"/>
      <c r="E19" s="146"/>
      <c r="F19" s="146"/>
      <c r="G19" s="146"/>
    </row>
    <row r="20" spans="1:10">
      <c r="A20" s="146"/>
      <c r="B20" s="146"/>
      <c r="C20" s="146"/>
      <c r="D20" s="146"/>
      <c r="E20" s="146"/>
      <c r="F20" s="146"/>
      <c r="G20" s="146"/>
    </row>
    <row r="21" spans="1:10" ht="60" customHeight="1">
      <c r="A21" s="146"/>
      <c r="B21" s="398"/>
      <c r="C21" s="399"/>
      <c r="D21" s="399"/>
      <c r="E21" s="399"/>
      <c r="F21" s="399"/>
      <c r="G21" s="146"/>
    </row>
    <row r="22" spans="1:10">
      <c r="A22" s="146"/>
      <c r="B22" s="146"/>
      <c r="C22" s="146"/>
      <c r="D22" s="146"/>
      <c r="E22" s="146"/>
      <c r="F22" s="146"/>
      <c r="G22" s="146"/>
    </row>
    <row r="23" spans="1:10">
      <c r="A23" s="146"/>
      <c r="B23" s="146"/>
      <c r="C23" s="146"/>
      <c r="D23" s="146"/>
      <c r="E23" s="146"/>
      <c r="F23" s="146"/>
      <c r="G23" s="146"/>
    </row>
  </sheetData>
  <sheetProtection algorithmName="SHA-512" hashValue="vQMPesEZsF1tQTXOQ1mW+wJB1pBzRmCwU+TAd2H0SqLzxH8Feo/MFHOi5mcqlwusiaYrl4AMgNKQEe0JWS68DQ==" saltValue="mhQeA2V2OLFoMfU5GjHG+Q==" spinCount="100000" sheet="1" selectLockedCells="1" selectUnlockedCells="1"/>
  <mergeCells count="7">
    <mergeCell ref="B21:F21"/>
    <mergeCell ref="B16:F16"/>
    <mergeCell ref="B5:J5"/>
    <mergeCell ref="H6:J6"/>
    <mergeCell ref="B7:J15"/>
    <mergeCell ref="H16:J16"/>
    <mergeCell ref="B18:J18"/>
  </mergeCells>
  <pageMargins left="0.70866141732283472" right="0.70866141732283472" top="0.74803149606299213" bottom="0.74803149606299213" header="0.31496062992125984" footer="0.31496062992125984"/>
  <pageSetup paperSize="9" scale="6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I48"/>
  <sheetViews>
    <sheetView topLeftCell="A32" zoomScaleNormal="100" workbookViewId="0">
      <selection activeCell="D7" sqref="D7"/>
    </sheetView>
  </sheetViews>
  <sheetFormatPr defaultColWidth="9" defaultRowHeight="13.9"/>
  <cols>
    <col min="1" max="1" width="2.75" style="1" customWidth="1"/>
    <col min="2" max="2" width="37.75" style="1" customWidth="1"/>
    <col min="3" max="3" width="39.25" style="1" customWidth="1"/>
    <col min="4" max="4" width="50" style="1" customWidth="1"/>
    <col min="5" max="5" width="36.5" style="1" customWidth="1"/>
    <col min="6" max="6" width="13.75" style="1" customWidth="1"/>
    <col min="7" max="16384" width="9" style="1"/>
  </cols>
  <sheetData>
    <row r="1" spans="1:9" hidden="1">
      <c r="A1" s="1" t="s">
        <v>14</v>
      </c>
      <c r="E1" s="1" t="s">
        <v>14</v>
      </c>
    </row>
    <row r="2" spans="1:9" ht="115.5" customHeight="1"/>
    <row r="4" spans="1:9">
      <c r="B4" s="100" t="s">
        <v>15</v>
      </c>
      <c r="C4" s="100"/>
      <c r="I4" s="2"/>
    </row>
    <row r="5" spans="1:9">
      <c r="B5" s="108" t="s">
        <v>16</v>
      </c>
      <c r="C5" s="104"/>
      <c r="I5" s="2"/>
    </row>
    <row r="6" spans="1:9">
      <c r="B6" s="404" t="s">
        <v>17</v>
      </c>
      <c r="C6" s="104"/>
    </row>
    <row r="7" spans="1:9">
      <c r="B7" s="405"/>
      <c r="C7" s="104"/>
    </row>
    <row r="8" spans="1:9">
      <c r="B8" s="406"/>
      <c r="C8" s="104"/>
    </row>
    <row r="9" spans="1:9">
      <c r="B9" s="108" t="s">
        <v>18</v>
      </c>
      <c r="C9" s="104"/>
    </row>
    <row r="10" spans="1:9">
      <c r="B10" s="3"/>
      <c r="C10" s="4"/>
    </row>
    <row r="11" spans="1:9">
      <c r="B11" s="100" t="s">
        <v>19</v>
      </c>
      <c r="C11" s="100"/>
    </row>
    <row r="12" spans="1:9">
      <c r="B12" s="108" t="s">
        <v>20</v>
      </c>
      <c r="C12" s="104"/>
    </row>
    <row r="13" spans="1:9">
      <c r="B13" s="108" t="s">
        <v>21</v>
      </c>
      <c r="C13" s="104"/>
    </row>
    <row r="14" spans="1:9">
      <c r="B14" s="108" t="s">
        <v>22</v>
      </c>
      <c r="C14" s="104"/>
    </row>
    <row r="15" spans="1:9">
      <c r="B15" s="108" t="s">
        <v>23</v>
      </c>
      <c r="C15" s="104"/>
    </row>
    <row r="16" spans="1:9">
      <c r="B16" s="108" t="s">
        <v>24</v>
      </c>
      <c r="C16" s="104"/>
    </row>
    <row r="17" spans="2:3">
      <c r="B17" s="108" t="s">
        <v>25</v>
      </c>
      <c r="C17" s="104"/>
    </row>
    <row r="18" spans="2:3">
      <c r="B18" s="108" t="s">
        <v>26</v>
      </c>
      <c r="C18" s="104"/>
    </row>
    <row r="19" spans="2:3">
      <c r="B19" s="100" t="s">
        <v>27</v>
      </c>
      <c r="C19" s="101">
        <f>SUM(C12:C18)</f>
        <v>0</v>
      </c>
    </row>
    <row r="20" spans="2:3">
      <c r="B20" s="3"/>
      <c r="C20" s="4"/>
    </row>
    <row r="21" spans="2:3">
      <c r="B21" s="100" t="s">
        <v>28</v>
      </c>
      <c r="C21" s="100"/>
    </row>
    <row r="22" spans="2:3">
      <c r="B22" s="108" t="s">
        <v>29</v>
      </c>
      <c r="C22" s="104"/>
    </row>
    <row r="23" spans="2:3">
      <c r="B23" s="108" t="s">
        <v>30</v>
      </c>
      <c r="C23" s="104"/>
    </row>
    <row r="24" spans="2:3">
      <c r="B24" s="102"/>
      <c r="C24" s="103"/>
    </row>
    <row r="25" spans="2:3">
      <c r="B25" s="100" t="s">
        <v>31</v>
      </c>
      <c r="C25" s="100" t="s">
        <v>32</v>
      </c>
    </row>
    <row r="26" spans="2:3">
      <c r="B26" s="108" t="s">
        <v>33</v>
      </c>
      <c r="C26" s="104"/>
    </row>
    <row r="27" spans="2:3">
      <c r="B27" s="108" t="s">
        <v>34</v>
      </c>
      <c r="C27" s="104"/>
    </row>
    <row r="28" spans="2:3">
      <c r="B28" s="108" t="s">
        <v>35</v>
      </c>
      <c r="C28" s="104"/>
    </row>
    <row r="29" spans="2:3">
      <c r="B29" s="108" t="s">
        <v>36</v>
      </c>
      <c r="C29" s="104"/>
    </row>
    <row r="30" spans="2:3">
      <c r="B30" s="108" t="s">
        <v>37</v>
      </c>
      <c r="C30" s="104"/>
    </row>
    <row r="31" spans="2:3">
      <c r="B31" s="108" t="s">
        <v>38</v>
      </c>
      <c r="C31" s="104"/>
    </row>
    <row r="32" spans="2:3">
      <c r="B32" s="108" t="s">
        <v>39</v>
      </c>
      <c r="C32" s="104"/>
    </row>
    <row r="33" spans="2:3">
      <c r="B33" s="108" t="s">
        <v>40</v>
      </c>
      <c r="C33" s="104"/>
    </row>
    <row r="34" spans="2:3">
      <c r="B34" s="108" t="s">
        <v>41</v>
      </c>
      <c r="C34" s="104"/>
    </row>
    <row r="35" spans="2:3">
      <c r="B35" s="108" t="s">
        <v>42</v>
      </c>
      <c r="C35" s="104"/>
    </row>
    <row r="36" spans="2:3">
      <c r="B36" s="108" t="s">
        <v>43</v>
      </c>
      <c r="C36" s="104"/>
    </row>
    <row r="37" spans="2:3">
      <c r="B37" s="108" t="s">
        <v>44</v>
      </c>
      <c r="C37" s="104"/>
    </row>
    <row r="38" spans="2:3">
      <c r="B38" s="102"/>
      <c r="C38" s="103"/>
    </row>
    <row r="39" spans="2:3">
      <c r="B39" s="100" t="s">
        <v>45</v>
      </c>
      <c r="C39" s="100" t="s">
        <v>46</v>
      </c>
    </row>
    <row r="40" spans="2:3">
      <c r="B40" s="108" t="s">
        <v>47</v>
      </c>
      <c r="C40" s="104"/>
    </row>
    <row r="41" spans="2:3">
      <c r="B41" s="108" t="s">
        <v>48</v>
      </c>
      <c r="C41" s="104"/>
    </row>
    <row r="42" spans="2:3">
      <c r="B42" s="108" t="s">
        <v>49</v>
      </c>
      <c r="C42" s="104"/>
    </row>
    <row r="43" spans="2:3">
      <c r="B43" s="108" t="s">
        <v>50</v>
      </c>
      <c r="C43" s="104"/>
    </row>
    <row r="44" spans="2:3">
      <c r="B44" s="108" t="s">
        <v>51</v>
      </c>
      <c r="C44" s="104"/>
    </row>
    <row r="45" spans="2:3">
      <c r="B45" s="3"/>
      <c r="C45" s="5"/>
    </row>
    <row r="46" spans="2:3" ht="16.5" customHeight="1">
      <c r="B46" s="100" t="s">
        <v>52</v>
      </c>
      <c r="C46" s="100"/>
    </row>
    <row r="47" spans="2:3" ht="162.75" customHeight="1">
      <c r="B47" s="404" t="s">
        <v>53</v>
      </c>
      <c r="C47" s="407"/>
    </row>
    <row r="48" spans="2:3">
      <c r="B48" s="406"/>
      <c r="C48" s="408"/>
    </row>
  </sheetData>
  <mergeCells count="3">
    <mergeCell ref="B6:B8"/>
    <mergeCell ref="C47:C48"/>
    <mergeCell ref="B47:B48"/>
  </mergeCells>
  <pageMargins left="0.70866141732283472" right="0.70866141732283472" top="0.74803149606299213" bottom="0.74803149606299213" header="0.31496062992125984" footer="0.31496062992125984"/>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3B99C-E8A1-403E-A9AA-8E3FFE5B62E4}">
  <dimension ref="A1:P49"/>
  <sheetViews>
    <sheetView showGridLines="0" showRowColHeaders="0" workbookViewId="0">
      <selection activeCell="D5" sqref="D5"/>
    </sheetView>
  </sheetViews>
  <sheetFormatPr defaultRowHeight="13.9"/>
  <cols>
    <col min="1" max="1" width="3.5" customWidth="1"/>
    <col min="2" max="2" width="30.25" customWidth="1"/>
    <col min="3" max="3" width="13.625" customWidth="1"/>
    <col min="4" max="4" width="50.875" customWidth="1"/>
    <col min="5" max="5" width="44.25" customWidth="1"/>
    <col min="7" max="7" width="21.25" customWidth="1"/>
    <col min="8" max="17" width="0" hidden="1" customWidth="1"/>
  </cols>
  <sheetData>
    <row r="1" spans="1:8" ht="145.15" customHeight="1"/>
    <row r="4" spans="1:8">
      <c r="A4" s="306"/>
      <c r="B4" s="307" t="s">
        <v>15</v>
      </c>
      <c r="C4" s="307"/>
      <c r="D4" s="307"/>
      <c r="E4" s="306"/>
      <c r="F4" s="306"/>
      <c r="G4" s="308" t="s">
        <v>54</v>
      </c>
      <c r="H4" s="306"/>
    </row>
    <row r="5" spans="1:8">
      <c r="A5" s="306"/>
      <c r="B5" s="309" t="s">
        <v>55</v>
      </c>
      <c r="C5" s="310"/>
      <c r="D5" s="311"/>
      <c r="E5" s="306"/>
      <c r="F5" s="306"/>
      <c r="G5" s="312"/>
      <c r="H5" s="306"/>
    </row>
    <row r="6" spans="1:8">
      <c r="A6" s="306"/>
      <c r="B6" s="409" t="s">
        <v>56</v>
      </c>
      <c r="C6" s="313"/>
      <c r="D6" s="311"/>
      <c r="E6" s="306"/>
      <c r="F6" s="306"/>
      <c r="G6" s="314" t="s">
        <v>57</v>
      </c>
      <c r="H6" s="306"/>
    </row>
    <row r="7" spans="1:8">
      <c r="A7" s="306"/>
      <c r="B7" s="410"/>
      <c r="C7" s="315"/>
      <c r="D7" s="311"/>
      <c r="E7" s="306"/>
      <c r="F7" s="306"/>
      <c r="G7" s="312"/>
      <c r="H7" s="306"/>
    </row>
    <row r="8" spans="1:8">
      <c r="A8" s="306"/>
      <c r="B8" s="411"/>
      <c r="C8" s="316"/>
      <c r="D8" s="311"/>
      <c r="E8" s="306"/>
      <c r="F8" s="306"/>
      <c r="G8" s="317" t="s">
        <v>57</v>
      </c>
      <c r="H8" s="306"/>
    </row>
    <row r="9" spans="1:8">
      <c r="A9" s="306"/>
      <c r="B9" s="309" t="s">
        <v>58</v>
      </c>
      <c r="C9" s="310"/>
      <c r="D9" s="318"/>
      <c r="E9" s="306"/>
      <c r="F9" s="306"/>
      <c r="G9" s="306"/>
      <c r="H9" s="306"/>
    </row>
    <row r="10" spans="1:8">
      <c r="A10" s="306"/>
      <c r="B10" s="309" t="s">
        <v>59</v>
      </c>
      <c r="C10" s="310"/>
      <c r="D10" s="318"/>
      <c r="F10" s="306"/>
      <c r="G10" s="306"/>
      <c r="H10" s="306"/>
    </row>
    <row r="11" spans="1:8">
      <c r="A11" s="306"/>
      <c r="B11" s="319"/>
      <c r="C11" s="319"/>
      <c r="D11" s="320"/>
      <c r="E11" s="306"/>
      <c r="F11" s="306"/>
      <c r="G11" s="306"/>
      <c r="H11" s="306"/>
    </row>
    <row r="12" spans="1:8">
      <c r="A12" s="306"/>
      <c r="B12" s="307" t="s">
        <v>45</v>
      </c>
      <c r="C12" s="307"/>
      <c r="D12" s="307" t="s">
        <v>60</v>
      </c>
      <c r="E12" s="306"/>
      <c r="F12" s="306"/>
      <c r="G12" s="306"/>
      <c r="H12" s="306"/>
    </row>
    <row r="13" spans="1:8">
      <c r="A13" s="306"/>
      <c r="B13" s="309" t="s">
        <v>61</v>
      </c>
      <c r="C13" s="310"/>
      <c r="D13" s="321"/>
      <c r="E13" s="306"/>
      <c r="F13" s="306"/>
      <c r="G13" s="306"/>
      <c r="H13" s="306"/>
    </row>
    <row r="14" spans="1:8">
      <c r="A14" s="306"/>
      <c r="B14" s="309" t="s">
        <v>62</v>
      </c>
      <c r="C14" s="310"/>
      <c r="D14" s="321"/>
      <c r="E14" s="306"/>
      <c r="F14" s="306"/>
      <c r="G14" s="306"/>
      <c r="H14" s="306"/>
    </row>
    <row r="15" spans="1:8">
      <c r="A15" s="306"/>
      <c r="B15" s="309" t="s">
        <v>63</v>
      </c>
      <c r="C15" s="310"/>
      <c r="D15" s="321"/>
      <c r="E15" s="306"/>
      <c r="F15" s="306"/>
      <c r="G15" s="306"/>
      <c r="H15" s="306"/>
    </row>
    <row r="16" spans="1:8">
      <c r="A16" s="306"/>
      <c r="B16" s="309" t="s">
        <v>64</v>
      </c>
      <c r="C16" s="310"/>
      <c r="D16" s="321"/>
      <c r="E16" s="306"/>
      <c r="F16" s="306"/>
      <c r="G16" s="306"/>
      <c r="H16" s="306"/>
    </row>
    <row r="17" spans="1:16">
      <c r="A17" s="306"/>
      <c r="B17" s="309" t="s">
        <v>65</v>
      </c>
      <c r="C17" s="310"/>
      <c r="D17" s="321"/>
      <c r="E17" s="306"/>
      <c r="F17" s="306"/>
      <c r="G17" s="306"/>
      <c r="H17" s="306"/>
    </row>
    <row r="19" spans="1:16">
      <c r="B19" s="307" t="s">
        <v>52</v>
      </c>
      <c r="C19" s="307"/>
      <c r="D19" s="307"/>
    </row>
    <row r="20" spans="1:16">
      <c r="B20" s="409" t="s">
        <v>66</v>
      </c>
      <c r="C20" s="313"/>
      <c r="D20" s="412"/>
      <c r="P20" t="s">
        <v>67</v>
      </c>
    </row>
    <row r="21" spans="1:16">
      <c r="B21" s="411"/>
      <c r="C21" s="316"/>
      <c r="D21" s="413"/>
      <c r="P21" t="s">
        <v>68</v>
      </c>
    </row>
    <row r="22" spans="1:16" ht="86.45">
      <c r="B22" s="414" t="s">
        <v>69</v>
      </c>
      <c r="C22" s="415"/>
      <c r="D22" s="322" t="s">
        <v>68</v>
      </c>
      <c r="E22" s="326" t="s">
        <v>70</v>
      </c>
    </row>
    <row r="24" spans="1:16" ht="14.45">
      <c r="B24" s="307" t="s">
        <v>19</v>
      </c>
      <c r="C24" s="307"/>
      <c r="D24" s="323" t="str">
        <f>IF(D22="Yes","Enter the project areas for Office and Industrial","")</f>
        <v/>
      </c>
    </row>
    <row r="25" spans="1:16">
      <c r="B25" s="309" t="s">
        <v>20</v>
      </c>
      <c r="C25" s="310"/>
      <c r="D25" s="322"/>
    </row>
    <row r="26" spans="1:16">
      <c r="B26" s="309" t="s">
        <v>21</v>
      </c>
      <c r="C26" s="310"/>
      <c r="D26" s="322"/>
    </row>
    <row r="27" spans="1:16">
      <c r="B27" s="309" t="s">
        <v>22</v>
      </c>
      <c r="C27" s="310"/>
      <c r="D27" s="322"/>
    </row>
    <row r="28" spans="1:16">
      <c r="B28" s="309" t="s">
        <v>23</v>
      </c>
      <c r="C28" s="310"/>
      <c r="D28" s="322"/>
    </row>
    <row r="29" spans="1:16">
      <c r="B29" s="309" t="s">
        <v>24</v>
      </c>
      <c r="C29" s="310"/>
      <c r="D29" s="322"/>
    </row>
    <row r="30" spans="1:16">
      <c r="B30" s="309" t="s">
        <v>25</v>
      </c>
      <c r="C30" s="310"/>
      <c r="D30" s="322"/>
    </row>
    <row r="31" spans="1:16">
      <c r="B31" s="309" t="s">
        <v>26</v>
      </c>
      <c r="C31" s="310"/>
      <c r="D31" s="322"/>
    </row>
    <row r="32" spans="1:16">
      <c r="B32" s="307" t="s">
        <v>27</v>
      </c>
      <c r="C32" s="307"/>
      <c r="D32" s="327">
        <f>SUM(D25:D31)</f>
        <v>0</v>
      </c>
    </row>
    <row r="34" spans="2:4">
      <c r="B34" s="307" t="s">
        <v>71</v>
      </c>
      <c r="C34" s="307"/>
      <c r="D34" s="307"/>
    </row>
    <row r="35" spans="2:4">
      <c r="B35" s="309" t="s">
        <v>72</v>
      </c>
      <c r="C35" s="310"/>
      <c r="D35" s="311"/>
    </row>
    <row r="36" spans="2:4">
      <c r="B36" s="309" t="s">
        <v>73</v>
      </c>
      <c r="C36" s="310"/>
      <c r="D36" s="311"/>
    </row>
    <row r="37" spans="2:4">
      <c r="B37" s="324"/>
      <c r="C37" s="324"/>
      <c r="D37" s="325"/>
    </row>
    <row r="38" spans="2:4">
      <c r="B38" s="307" t="s">
        <v>31</v>
      </c>
      <c r="C38" s="307"/>
      <c r="D38" s="307" t="s">
        <v>32</v>
      </c>
    </row>
    <row r="39" spans="2:4">
      <c r="B39" s="309" t="s">
        <v>34</v>
      </c>
      <c r="C39" s="310"/>
      <c r="D39" s="311"/>
    </row>
    <row r="40" spans="2:4">
      <c r="B40" s="309" t="s">
        <v>35</v>
      </c>
      <c r="C40" s="310"/>
      <c r="D40" s="311"/>
    </row>
    <row r="41" spans="2:4">
      <c r="B41" s="309" t="s">
        <v>36</v>
      </c>
      <c r="C41" s="310"/>
      <c r="D41" s="311"/>
    </row>
    <row r="42" spans="2:4">
      <c r="B42" s="309" t="s">
        <v>37</v>
      </c>
      <c r="C42" s="310"/>
      <c r="D42" s="311"/>
    </row>
    <row r="43" spans="2:4">
      <c r="B43" s="309" t="s">
        <v>38</v>
      </c>
      <c r="C43" s="310"/>
      <c r="D43" s="311"/>
    </row>
    <row r="44" spans="2:4">
      <c r="B44" s="309" t="s">
        <v>39</v>
      </c>
      <c r="C44" s="310"/>
      <c r="D44" s="311"/>
    </row>
    <row r="45" spans="2:4">
      <c r="B45" s="309" t="s">
        <v>40</v>
      </c>
      <c r="C45" s="310"/>
      <c r="D45" s="311"/>
    </row>
    <row r="46" spans="2:4">
      <c r="B46" s="309" t="s">
        <v>41</v>
      </c>
      <c r="C46" s="310"/>
      <c r="D46" s="311"/>
    </row>
    <row r="47" spans="2:4">
      <c r="B47" s="309" t="s">
        <v>42</v>
      </c>
      <c r="C47" s="310"/>
      <c r="D47" s="311"/>
    </row>
    <row r="48" spans="2:4">
      <c r="B48" s="309" t="s">
        <v>43</v>
      </c>
      <c r="C48" s="310"/>
      <c r="D48" s="311"/>
    </row>
    <row r="49" spans="2:4">
      <c r="B49" s="309" t="s">
        <v>44</v>
      </c>
      <c r="C49" s="310"/>
      <c r="D49" s="311"/>
    </row>
  </sheetData>
  <mergeCells count="4">
    <mergeCell ref="B6:B8"/>
    <mergeCell ref="B20:B21"/>
    <mergeCell ref="D20:D21"/>
    <mergeCell ref="B22:C22"/>
  </mergeCells>
  <dataValidations count="1">
    <dataValidation type="list" allowBlank="1" showInputMessage="1" showErrorMessage="1" sqref="D22" xr:uid="{7BB4F35C-65AF-4796-A89D-136F93233BE6}">
      <formula1>$P$20:$P$21</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FDBAE-70F3-42AE-8D80-123B9B8D8943}">
  <sheetPr>
    <pageSetUpPr fitToPage="1"/>
  </sheetPr>
  <dimension ref="A1:AE131"/>
  <sheetViews>
    <sheetView showGridLines="0" tabSelected="1" topLeftCell="E1" zoomScale="80" zoomScaleNormal="80" workbookViewId="0">
      <selection activeCell="H5" sqref="H5"/>
    </sheetView>
  </sheetViews>
  <sheetFormatPr defaultColWidth="9" defaultRowHeight="13.9"/>
  <cols>
    <col min="1" max="1" width="0.75" style="152" hidden="1" customWidth="1"/>
    <col min="2" max="2" width="2" style="152" hidden="1" customWidth="1"/>
    <col min="3" max="3" width="27.375" style="152" hidden="1" customWidth="1"/>
    <col min="4" max="4" width="0.375" style="152" hidden="1" customWidth="1"/>
    <col min="5" max="5" width="7" style="152" customWidth="1"/>
    <col min="6" max="6" width="24" style="10" customWidth="1"/>
    <col min="7" max="7" width="41.625" style="10" customWidth="1"/>
    <col min="8" max="8" width="9.625" style="8" customWidth="1"/>
    <col min="9" max="9" width="42.5" style="10" customWidth="1"/>
    <col min="10" max="10" width="15.75" style="8" customWidth="1"/>
    <col min="11" max="11" width="14" style="8" customWidth="1"/>
    <col min="12" max="12" width="9.25" style="11" customWidth="1"/>
    <col min="13" max="13" width="16" style="8" customWidth="1"/>
    <col min="14" max="14" width="13.75" style="8" customWidth="1"/>
    <col min="15" max="15" width="14" style="8" hidden="1" customWidth="1"/>
    <col min="16" max="16" width="29.75" style="8" hidden="1" customWidth="1"/>
    <col min="17" max="17" width="24" style="179" customWidth="1"/>
    <col min="18" max="18" width="24.125" style="11" hidden="1" customWidth="1"/>
    <col min="19" max="19" width="57.25" style="228" customWidth="1"/>
    <col min="20" max="20" width="9" style="11" hidden="1" customWidth="1"/>
    <col min="21" max="21" width="42.625" style="212" hidden="1" customWidth="1"/>
    <col min="22" max="22" width="40.375" style="212" hidden="1" customWidth="1"/>
    <col min="23" max="23" width="45.875" style="228" hidden="1" customWidth="1"/>
    <col min="24" max="24" width="11.375" style="11" hidden="1" customWidth="1"/>
    <col min="25" max="25" width="46" style="212" hidden="1" customWidth="1"/>
    <col min="26" max="26" width="43.625" style="212" hidden="1" customWidth="1"/>
    <col min="27" max="27" width="31.25" style="11" hidden="1" customWidth="1"/>
    <col min="28" max="28" width="9" style="11" hidden="1" customWidth="1"/>
    <col min="29" max="30" width="15.75" style="11" hidden="1" customWidth="1"/>
    <col min="31" max="31" width="9" style="11" hidden="1" customWidth="1"/>
    <col min="32" max="43" width="9" style="11" customWidth="1"/>
    <col min="44" max="16384" width="9" style="11"/>
  </cols>
  <sheetData>
    <row r="1" spans="1:31" ht="73.5" customHeight="1">
      <c r="A1" s="152" t="s">
        <v>14</v>
      </c>
      <c r="B1" s="152" t="s">
        <v>14</v>
      </c>
      <c r="C1" s="295" t="s">
        <v>14</v>
      </c>
      <c r="F1" s="338" t="s">
        <v>74</v>
      </c>
      <c r="G1" s="339"/>
      <c r="H1" s="339"/>
      <c r="I1" s="339"/>
      <c r="J1" s="6"/>
      <c r="K1" s="6"/>
      <c r="L1" s="7"/>
      <c r="O1" s="8" t="s">
        <v>14</v>
      </c>
      <c r="P1" s="8" t="s">
        <v>14</v>
      </c>
      <c r="Q1" s="175"/>
      <c r="R1" s="9"/>
      <c r="S1" s="340" t="s">
        <v>75</v>
      </c>
      <c r="T1" s="341"/>
      <c r="U1" s="341"/>
      <c r="V1" s="342"/>
      <c r="W1" s="340" t="s">
        <v>76</v>
      </c>
      <c r="X1" s="341"/>
      <c r="Y1" s="341"/>
      <c r="Z1" s="342"/>
    </row>
    <row r="2" spans="1:31" ht="37.5" customHeight="1">
      <c r="A2" s="166" t="s">
        <v>77</v>
      </c>
      <c r="B2" s="166" t="s">
        <v>78</v>
      </c>
      <c r="C2" s="167" t="s">
        <v>79</v>
      </c>
      <c r="F2" s="343" t="s">
        <v>80</v>
      </c>
      <c r="G2" s="344"/>
      <c r="H2" s="344"/>
      <c r="I2" s="13"/>
      <c r="J2" s="345" t="s">
        <v>81</v>
      </c>
      <c r="K2" s="345" t="s">
        <v>82</v>
      </c>
      <c r="L2" s="15"/>
      <c r="M2" s="345" t="s">
        <v>83</v>
      </c>
      <c r="N2" s="345" t="s">
        <v>84</v>
      </c>
      <c r="O2" s="16"/>
      <c r="P2" s="16"/>
      <c r="Q2" s="176"/>
      <c r="R2" s="17"/>
      <c r="S2" s="300"/>
      <c r="T2" s="346" t="s">
        <v>85</v>
      </c>
      <c r="U2" s="347"/>
      <c r="V2" s="348"/>
      <c r="W2" s="300"/>
      <c r="X2" s="346" t="s">
        <v>86</v>
      </c>
      <c r="Y2" s="347"/>
      <c r="Z2" s="348"/>
    </row>
    <row r="3" spans="1:31" ht="37.5" customHeight="1" thickBot="1">
      <c r="A3" s="179"/>
      <c r="B3" s="179"/>
      <c r="C3" s="295"/>
      <c r="F3" s="343"/>
      <c r="G3" s="344"/>
      <c r="H3" s="344"/>
      <c r="I3" s="13"/>
      <c r="J3" s="345"/>
      <c r="K3" s="345"/>
      <c r="L3" s="15"/>
      <c r="M3" s="345"/>
      <c r="N3" s="345"/>
      <c r="O3" s="16"/>
      <c r="P3" s="16"/>
      <c r="Q3" s="176"/>
      <c r="R3" s="17"/>
      <c r="S3" s="301"/>
      <c r="T3" s="349" t="s">
        <v>87</v>
      </c>
      <c r="U3" s="349"/>
      <c r="V3" s="350"/>
      <c r="W3" s="301"/>
      <c r="X3" s="349" t="s">
        <v>87</v>
      </c>
      <c r="Y3" s="349"/>
      <c r="Z3" s="350"/>
    </row>
    <row r="4" spans="1:31" ht="45" customHeight="1" thickBot="1">
      <c r="F4" s="336" t="s">
        <v>88</v>
      </c>
      <c r="G4" s="351" t="str">
        <f>IF(K4&gt;=75,"6 Stars - World Leadership",IF(K4&gt;=60,"5 Star - New Zealand Excellence",IF(K4&gt;=45,"4 Star - New Zealand Best Practice","")))</f>
        <v/>
      </c>
      <c r="H4" s="351"/>
      <c r="I4" s="20"/>
      <c r="J4" s="125">
        <f>J112</f>
        <v>100</v>
      </c>
      <c r="K4" s="126">
        <f>K115</f>
        <v>0</v>
      </c>
      <c r="L4" s="15"/>
      <c r="M4" s="173">
        <f>M112</f>
        <v>0</v>
      </c>
      <c r="N4" s="173">
        <f>N112</f>
        <v>0</v>
      </c>
      <c r="O4" s="21"/>
      <c r="P4" s="164" t="str">
        <f>IF(Q125&lt;=SUM(P121:P122),"",R125)</f>
        <v/>
      </c>
      <c r="Q4" s="177"/>
      <c r="R4" s="17"/>
      <c r="S4" s="302"/>
      <c r="T4" s="352" t="s">
        <v>89</v>
      </c>
      <c r="U4" s="352"/>
      <c r="V4" s="353"/>
      <c r="W4" s="302"/>
      <c r="X4" s="352" t="s">
        <v>89</v>
      </c>
      <c r="Y4" s="352"/>
      <c r="Z4" s="353"/>
    </row>
    <row r="5" spans="1:31" ht="45" customHeight="1" thickBot="1">
      <c r="F5" s="343" t="s">
        <v>90</v>
      </c>
      <c r="G5" s="343"/>
      <c r="H5" s="337" t="s">
        <v>68</v>
      </c>
      <c r="I5" s="20" t="str">
        <f>IF(H5="Yes","Please contact the NZGBC to obtain the Integrated Fitout scorecard",IF(H5="","Please select an answer",""))</f>
        <v/>
      </c>
      <c r="J5" s="331"/>
      <c r="K5" s="332"/>
      <c r="L5" s="333"/>
      <c r="M5" s="334"/>
      <c r="N5" s="334"/>
      <c r="O5" s="21"/>
      <c r="P5" s="328"/>
      <c r="Q5" s="177"/>
      <c r="R5" s="17"/>
      <c r="S5" s="302"/>
      <c r="T5" s="329"/>
      <c r="U5" s="329"/>
      <c r="V5" s="330"/>
      <c r="W5" s="302"/>
      <c r="X5" s="354" t="s">
        <v>91</v>
      </c>
      <c r="Y5" s="354"/>
      <c r="Z5" s="355"/>
    </row>
    <row r="6" spans="1:31" ht="37.5" customHeight="1" thickBot="1">
      <c r="F6" s="335"/>
      <c r="G6" s="22"/>
      <c r="H6" s="6"/>
      <c r="I6" s="22"/>
      <c r="J6" s="6"/>
      <c r="K6" s="6"/>
      <c r="L6" s="15"/>
      <c r="M6" s="6"/>
      <c r="N6" s="6"/>
      <c r="O6" s="6"/>
      <c r="P6" s="6"/>
      <c r="Q6" s="175"/>
      <c r="R6" s="9"/>
      <c r="S6" s="303"/>
      <c r="T6" s="354" t="s">
        <v>91</v>
      </c>
      <c r="U6" s="354"/>
      <c r="V6" s="355"/>
      <c r="W6" s="11"/>
      <c r="Y6" s="11"/>
      <c r="Z6" s="11"/>
    </row>
    <row r="7" spans="1:31" ht="45" customHeight="1">
      <c r="E7" s="153" t="s">
        <v>92</v>
      </c>
      <c r="F7" s="23" t="s">
        <v>93</v>
      </c>
      <c r="G7" s="23" t="s">
        <v>94</v>
      </c>
      <c r="H7" s="14" t="s">
        <v>95</v>
      </c>
      <c r="I7" s="23" t="s">
        <v>96</v>
      </c>
      <c r="J7" s="14" t="s">
        <v>97</v>
      </c>
      <c r="K7" s="14" t="s">
        <v>98</v>
      </c>
      <c r="L7" s="24"/>
      <c r="M7" s="14" t="s">
        <v>99</v>
      </c>
      <c r="N7" s="14" t="s">
        <v>100</v>
      </c>
      <c r="O7" s="14" t="s">
        <v>101</v>
      </c>
      <c r="P7" s="14" t="s">
        <v>102</v>
      </c>
      <c r="Q7" s="178" t="s">
        <v>103</v>
      </c>
      <c r="R7" s="10"/>
      <c r="S7" s="204" t="s">
        <v>104</v>
      </c>
      <c r="T7" s="297" t="s">
        <v>105</v>
      </c>
      <c r="U7" s="297" t="s">
        <v>106</v>
      </c>
      <c r="V7" s="297" t="s">
        <v>107</v>
      </c>
      <c r="W7" s="204" t="s">
        <v>108</v>
      </c>
      <c r="X7" s="297" t="s">
        <v>105</v>
      </c>
      <c r="Y7" s="297" t="s">
        <v>106</v>
      </c>
      <c r="Z7" s="297" t="s">
        <v>109</v>
      </c>
    </row>
    <row r="8" spans="1:31" ht="45" customHeight="1">
      <c r="E8" s="26"/>
      <c r="F8" s="25" t="s">
        <v>110</v>
      </c>
      <c r="G8" s="26"/>
      <c r="H8" s="27"/>
      <c r="I8" s="26"/>
      <c r="J8" s="27">
        <v>15</v>
      </c>
      <c r="K8" s="27"/>
      <c r="L8" s="24"/>
      <c r="M8" s="14"/>
      <c r="N8" s="14"/>
      <c r="O8" s="14"/>
      <c r="P8" s="14"/>
      <c r="Q8" s="178"/>
      <c r="R8" s="10"/>
      <c r="S8" s="204"/>
      <c r="T8" s="298"/>
      <c r="U8" s="299"/>
      <c r="V8" s="298" t="s">
        <v>111</v>
      </c>
      <c r="W8" s="204"/>
      <c r="X8" s="298"/>
      <c r="Y8" s="299"/>
      <c r="Z8" s="298" t="s">
        <v>111</v>
      </c>
      <c r="AC8" s="107"/>
      <c r="AD8" s="107"/>
      <c r="AE8" s="105"/>
    </row>
    <row r="9" spans="1:31" ht="45" customHeight="1">
      <c r="E9" s="28"/>
      <c r="F9" s="184" t="s">
        <v>33</v>
      </c>
      <c r="G9" s="268" t="s">
        <v>112</v>
      </c>
      <c r="H9" s="276">
        <v>1</v>
      </c>
      <c r="I9" s="268" t="s">
        <v>33</v>
      </c>
      <c r="J9" s="29">
        <v>1</v>
      </c>
      <c r="K9" s="30"/>
      <c r="L9" s="24"/>
      <c r="M9" s="32" t="str">
        <f>IF(OR(Q9=$AC$11,Q9=$AC$12, Q9=$AC$13),K9,"")</f>
        <v/>
      </c>
      <c r="N9" s="32" t="str">
        <f>IF(Q9=AC14,K9,"")</f>
        <v/>
      </c>
      <c r="O9" s="32"/>
      <c r="P9" s="32"/>
      <c r="Q9" s="193"/>
      <c r="R9" s="135"/>
      <c r="S9" s="290"/>
      <c r="T9" s="255"/>
      <c r="U9" s="256"/>
      <c r="V9" s="256"/>
      <c r="W9" s="290"/>
      <c r="X9" s="255"/>
      <c r="Y9" s="256"/>
      <c r="Z9" s="256"/>
      <c r="AC9" s="107"/>
      <c r="AD9" s="107"/>
      <c r="AE9" s="105"/>
    </row>
    <row r="10" spans="1:31" ht="45" customHeight="1">
      <c r="E10" s="28"/>
      <c r="F10" s="356" t="s">
        <v>113</v>
      </c>
      <c r="G10" s="359" t="s">
        <v>114</v>
      </c>
      <c r="H10" s="34">
        <v>2.1</v>
      </c>
      <c r="I10" s="38" t="s">
        <v>115</v>
      </c>
      <c r="J10" s="127">
        <v>2</v>
      </c>
      <c r="K10" s="30"/>
      <c r="L10" s="24" t="str">
        <f>IF($K$10&lt;&gt;2,"CR","")</f>
        <v>CR</v>
      </c>
      <c r="M10" s="32" t="str">
        <f>IF(OR(Q10=$AC$11,Q10=AC13),K10,"")</f>
        <v/>
      </c>
      <c r="N10" s="32" t="str">
        <f>IF(Q10=AC14,K10,"")</f>
        <v/>
      </c>
      <c r="O10" s="32"/>
      <c r="P10" s="32"/>
      <c r="Q10" s="193"/>
      <c r="R10" s="135"/>
      <c r="S10" s="290"/>
      <c r="T10" s="255"/>
      <c r="U10" s="256"/>
      <c r="V10" s="256"/>
      <c r="W10" s="290"/>
      <c r="X10" s="255"/>
      <c r="Y10" s="256"/>
      <c r="Z10" s="256"/>
      <c r="AA10" s="116" t="s">
        <v>116</v>
      </c>
      <c r="AB10" s="116"/>
      <c r="AC10" s="107"/>
      <c r="AD10" s="107" t="s">
        <v>117</v>
      </c>
      <c r="AE10" s="105"/>
    </row>
    <row r="11" spans="1:31" ht="45" customHeight="1">
      <c r="E11" s="28"/>
      <c r="F11" s="357"/>
      <c r="G11" s="360"/>
      <c r="H11" s="37">
        <v>2.2000000000000002</v>
      </c>
      <c r="I11" s="38" t="s">
        <v>118</v>
      </c>
      <c r="J11" s="39">
        <v>1</v>
      </c>
      <c r="K11" s="30"/>
      <c r="L11" s="24" t="str">
        <f>IF(AND(K11&gt;0,$K$10&lt;&gt;2),"!","")</f>
        <v/>
      </c>
      <c r="M11" s="32" t="str">
        <f>IF(OR(Q11=$AC$11,Q11=AC13),K11,"")</f>
        <v/>
      </c>
      <c r="N11" s="32" t="str">
        <f>IF(Q11=AC14,K11,"")</f>
        <v/>
      </c>
      <c r="O11" s="32"/>
      <c r="P11" s="32"/>
      <c r="Q11" s="193"/>
      <c r="R11" s="135"/>
      <c r="S11" s="290"/>
      <c r="T11" s="255"/>
      <c r="U11" s="256"/>
      <c r="V11" s="256"/>
      <c r="W11" s="290"/>
      <c r="X11" s="255"/>
      <c r="Y11" s="256"/>
      <c r="Z11" s="256"/>
      <c r="AA11" s="116" t="s">
        <v>119</v>
      </c>
      <c r="AB11" s="116" t="s">
        <v>120</v>
      </c>
      <c r="AC11" s="107" t="s">
        <v>121</v>
      </c>
      <c r="AD11" s="107" t="s">
        <v>122</v>
      </c>
      <c r="AE11" s="105"/>
    </row>
    <row r="12" spans="1:31" ht="45" customHeight="1">
      <c r="E12" s="28"/>
      <c r="F12" s="358"/>
      <c r="G12" s="361"/>
      <c r="H12" s="37">
        <v>2.2999999999999998</v>
      </c>
      <c r="I12" s="38" t="s">
        <v>123</v>
      </c>
      <c r="J12" s="39">
        <v>1</v>
      </c>
      <c r="K12" s="30"/>
      <c r="L12" s="24" t="str">
        <f>IF(AND(K12&gt;0,$K$10&lt;&gt;2),"!","")</f>
        <v/>
      </c>
      <c r="M12" s="32" t="str">
        <f>IF(OR(Q12=$AC$11,Q12=AC13),K12,"")</f>
        <v/>
      </c>
      <c r="N12" s="32" t="str">
        <f>IF(Q12=AC14,K12,"")</f>
        <v/>
      </c>
      <c r="O12" s="32"/>
      <c r="P12" s="32"/>
      <c r="Q12" s="193"/>
      <c r="R12" s="135"/>
      <c r="S12" s="290"/>
      <c r="T12" s="255"/>
      <c r="U12" s="256"/>
      <c r="V12" s="256"/>
      <c r="W12" s="290"/>
      <c r="X12" s="255"/>
      <c r="Y12" s="256"/>
      <c r="Z12" s="256"/>
      <c r="AB12" s="116" t="s">
        <v>124</v>
      </c>
      <c r="AC12" s="105" t="s">
        <v>125</v>
      </c>
      <c r="AD12" s="105"/>
      <c r="AE12" s="105"/>
    </row>
    <row r="13" spans="1:31" ht="45" customHeight="1">
      <c r="E13" s="28"/>
      <c r="F13" s="356" t="s">
        <v>126</v>
      </c>
      <c r="G13" s="362" t="s">
        <v>127</v>
      </c>
      <c r="H13" s="28">
        <v>3.1</v>
      </c>
      <c r="I13" s="268" t="s">
        <v>128</v>
      </c>
      <c r="J13" s="196" t="s">
        <v>115</v>
      </c>
      <c r="K13" s="30"/>
      <c r="L13" s="24" t="str">
        <f>IF($K$13=0,"CR","")</f>
        <v>CR</v>
      </c>
      <c r="M13" s="32" t="str">
        <f>IF(OR(Q13=$AC$11,Q13=AC13),K13,"")</f>
        <v/>
      </c>
      <c r="N13" s="32" t="str">
        <f>IF(Q13=AC14,K13,"")</f>
        <v/>
      </c>
      <c r="O13" s="32"/>
      <c r="P13" s="32"/>
      <c r="Q13" s="193"/>
      <c r="R13" s="135"/>
      <c r="S13" s="290"/>
      <c r="T13" s="255"/>
      <c r="U13" s="256"/>
      <c r="V13" s="256"/>
      <c r="W13" s="290"/>
      <c r="X13" s="255"/>
      <c r="Y13" s="256"/>
      <c r="Z13" s="256"/>
      <c r="AB13" s="11" t="s">
        <v>129</v>
      </c>
      <c r="AC13" s="107" t="s">
        <v>130</v>
      </c>
      <c r="AD13" s="105"/>
      <c r="AE13" s="105"/>
    </row>
    <row r="14" spans="1:31" ht="45" customHeight="1">
      <c r="E14" s="28"/>
      <c r="F14" s="357"/>
      <c r="G14" s="363"/>
      <c r="H14" s="28">
        <v>3.2</v>
      </c>
      <c r="I14" s="268" t="s">
        <v>131</v>
      </c>
      <c r="J14" s="196">
        <v>2</v>
      </c>
      <c r="K14" s="30"/>
      <c r="L14" s="24" t="str">
        <f>IF(AND(K14&gt;0,$K$13&lt;&gt;$AD$10),"!","")</f>
        <v/>
      </c>
      <c r="M14" s="32" t="str">
        <f>IF(OR(Q14=$AC$11,Q14=AC13),K14,"")</f>
        <v/>
      </c>
      <c r="N14" s="32" t="str">
        <f>IF(Q14=AC14,K14,"")</f>
        <v/>
      </c>
      <c r="O14" s="32"/>
      <c r="P14" s="32"/>
      <c r="Q14" s="193"/>
      <c r="R14" s="135"/>
      <c r="S14" s="290"/>
      <c r="T14" s="255"/>
      <c r="U14" s="256"/>
      <c r="V14" s="256"/>
      <c r="W14" s="290"/>
      <c r="X14" s="255"/>
      <c r="Y14" s="256"/>
      <c r="Z14" s="256"/>
      <c r="AC14" s="105" t="s">
        <v>132</v>
      </c>
      <c r="AD14" s="105"/>
      <c r="AE14" s="105"/>
    </row>
    <row r="15" spans="1:31" ht="45" customHeight="1">
      <c r="E15" s="28"/>
      <c r="F15" s="358"/>
      <c r="G15" s="364"/>
      <c r="H15" s="28">
        <v>3.3</v>
      </c>
      <c r="I15" s="268" t="s">
        <v>133</v>
      </c>
      <c r="J15" s="29">
        <v>1</v>
      </c>
      <c r="K15" s="30"/>
      <c r="L15" s="24" t="str">
        <f>IF(AND(K15&gt;0,$K$13&lt;&gt;$AD$10),"!","")</f>
        <v/>
      </c>
      <c r="M15" s="32" t="str">
        <f>IF(OR(Q15=$AC$11,Q15=AC13),K15,"")</f>
        <v/>
      </c>
      <c r="N15" s="32" t="str">
        <f>IF(Q15=AC14,K15,"")</f>
        <v/>
      </c>
      <c r="O15" s="32"/>
      <c r="P15" s="32"/>
      <c r="Q15" s="193"/>
      <c r="R15" s="135"/>
      <c r="S15" s="290"/>
      <c r="T15" s="255"/>
      <c r="U15" s="256"/>
      <c r="V15" s="256"/>
      <c r="W15" s="290"/>
      <c r="X15" s="255"/>
      <c r="Y15" s="256"/>
      <c r="Z15" s="256"/>
      <c r="AA15" s="296" t="s">
        <v>134</v>
      </c>
      <c r="AC15" s="105"/>
      <c r="AD15" s="105"/>
      <c r="AE15" s="105"/>
    </row>
    <row r="16" spans="1:31" ht="87" customHeight="1">
      <c r="E16" s="28"/>
      <c r="F16" s="184" t="s">
        <v>135</v>
      </c>
      <c r="G16" s="265" t="s">
        <v>136</v>
      </c>
      <c r="H16" s="276">
        <v>4.0999999999999996</v>
      </c>
      <c r="I16" s="268" t="s">
        <v>135</v>
      </c>
      <c r="J16" s="29">
        <v>1</v>
      </c>
      <c r="K16" s="30"/>
      <c r="L16" s="24"/>
      <c r="M16" s="32" t="str">
        <f>IF(OR(Q16=$AC$11,Q16=AC13),K16,"")</f>
        <v/>
      </c>
      <c r="N16" s="32" t="str">
        <f>IF(Q16=AC14,K16,"")</f>
        <v/>
      </c>
      <c r="O16" s="32"/>
      <c r="P16" s="32"/>
      <c r="Q16" s="193"/>
      <c r="R16" s="135"/>
      <c r="S16" s="290"/>
      <c r="T16" s="255"/>
      <c r="U16" s="256"/>
      <c r="V16" s="256"/>
      <c r="W16" s="290"/>
      <c r="X16" s="255"/>
      <c r="Y16" s="256"/>
      <c r="Z16" s="256"/>
      <c r="AA16" s="296">
        <v>1</v>
      </c>
      <c r="AC16" s="105"/>
      <c r="AD16" s="105"/>
      <c r="AE16" s="105"/>
    </row>
    <row r="17" spans="1:31" ht="45" customHeight="1">
      <c r="E17" s="28"/>
      <c r="F17" s="356" t="s">
        <v>137</v>
      </c>
      <c r="G17" s="362" t="s">
        <v>138</v>
      </c>
      <c r="H17" s="28">
        <v>5.0999999999999996</v>
      </c>
      <c r="I17" s="268" t="s">
        <v>139</v>
      </c>
      <c r="J17" s="29">
        <v>1</v>
      </c>
      <c r="K17" s="30"/>
      <c r="L17" s="24"/>
      <c r="M17" s="32" t="str">
        <f>IF(OR(Q17=$AC$11,Q17=AC13),K17,"")</f>
        <v/>
      </c>
      <c r="N17" s="32" t="str">
        <f>IF(Q17=AC14,K17,"")</f>
        <v/>
      </c>
      <c r="O17" s="32"/>
      <c r="P17" s="32"/>
      <c r="Q17" s="193"/>
      <c r="R17" s="135"/>
      <c r="S17" s="290"/>
      <c r="T17" s="255"/>
      <c r="U17" s="256"/>
      <c r="V17" s="256"/>
      <c r="W17" s="290"/>
      <c r="X17" s="255"/>
      <c r="Y17" s="256"/>
      <c r="Z17" s="256"/>
      <c r="AA17" s="296">
        <v>2</v>
      </c>
      <c r="AC17" s="105"/>
      <c r="AD17" s="105"/>
      <c r="AE17" s="105"/>
    </row>
    <row r="18" spans="1:31" ht="45" customHeight="1">
      <c r="E18" s="28"/>
      <c r="F18" s="358"/>
      <c r="G18" s="364"/>
      <c r="H18" s="28">
        <v>5.2</v>
      </c>
      <c r="I18" s="268" t="s">
        <v>140</v>
      </c>
      <c r="J18" s="29">
        <v>1</v>
      </c>
      <c r="K18" s="30"/>
      <c r="L18" s="24"/>
      <c r="M18" s="32" t="str">
        <f>IF(OR(Q18=$AC$11,Q18=AC13),K18,"")</f>
        <v/>
      </c>
      <c r="N18" s="32" t="str">
        <f>IF(Q18=AC14,K18,"")</f>
        <v/>
      </c>
      <c r="O18" s="32"/>
      <c r="P18" s="32"/>
      <c r="Q18" s="193"/>
      <c r="R18" s="135"/>
      <c r="S18" s="290"/>
      <c r="T18" s="255"/>
      <c r="U18" s="256"/>
      <c r="V18" s="256"/>
      <c r="W18" s="290"/>
      <c r="X18" s="255"/>
      <c r="Y18" s="256"/>
      <c r="Z18" s="256"/>
      <c r="AA18" s="296">
        <v>3</v>
      </c>
      <c r="AC18" s="105"/>
      <c r="AD18" s="105"/>
      <c r="AE18" s="105"/>
    </row>
    <row r="19" spans="1:31" ht="45" customHeight="1">
      <c r="E19" s="28"/>
      <c r="F19" s="356" t="s">
        <v>141</v>
      </c>
      <c r="G19" s="362" t="s">
        <v>142</v>
      </c>
      <c r="H19" s="28">
        <v>6.1</v>
      </c>
      <c r="I19" s="268" t="s">
        <v>143</v>
      </c>
      <c r="J19" s="196" t="s">
        <v>144</v>
      </c>
      <c r="K19" s="30"/>
      <c r="L19" s="24"/>
      <c r="M19" s="32" t="str">
        <f>IF(OR(Q19=$AC$11,Q19=AC13),K19,"")</f>
        <v/>
      </c>
      <c r="N19" s="32" t="str">
        <f>IF(Q19=AC14,K19,"")</f>
        <v/>
      </c>
      <c r="O19" s="32"/>
      <c r="P19" s="32"/>
      <c r="Q19" s="193"/>
      <c r="R19" s="135"/>
      <c r="S19" s="290"/>
      <c r="T19" s="255"/>
      <c r="U19" s="256"/>
      <c r="V19" s="256"/>
      <c r="W19" s="290"/>
      <c r="X19" s="255"/>
      <c r="Y19" s="256"/>
      <c r="Z19" s="256"/>
      <c r="AC19" s="105"/>
      <c r="AD19" s="105"/>
      <c r="AE19" s="105"/>
    </row>
    <row r="20" spans="1:31" ht="45" customHeight="1">
      <c r="E20" s="28"/>
      <c r="F20" s="358"/>
      <c r="G20" s="364"/>
      <c r="H20" s="28">
        <v>6.2</v>
      </c>
      <c r="I20" s="268" t="s">
        <v>145</v>
      </c>
      <c r="J20" s="29">
        <v>1</v>
      </c>
      <c r="K20" s="30"/>
      <c r="L20" s="24" t="str">
        <f>IF(AND(K20&gt;0,$K$19&lt;&gt;$AD$10),"!","")</f>
        <v/>
      </c>
      <c r="M20" s="32" t="str">
        <f>IF(OR(Q20=$AC$11,Q20=AC13),K20,"")</f>
        <v/>
      </c>
      <c r="N20" s="32" t="str">
        <f>IF(Q20=AC14,K20,"")</f>
        <v/>
      </c>
      <c r="O20" s="32"/>
      <c r="P20" s="32"/>
      <c r="Q20" s="193"/>
      <c r="R20" s="135"/>
      <c r="S20" s="290"/>
      <c r="T20" s="255"/>
      <c r="U20" s="256"/>
      <c r="V20" s="256"/>
      <c r="W20" s="290"/>
      <c r="X20" s="255"/>
      <c r="Y20" s="256"/>
      <c r="Z20" s="256"/>
      <c r="AC20" s="105"/>
      <c r="AD20" s="105"/>
      <c r="AE20" s="105"/>
    </row>
    <row r="21" spans="1:31" ht="45" customHeight="1">
      <c r="E21" s="28"/>
      <c r="F21" s="356" t="s">
        <v>146</v>
      </c>
      <c r="G21" s="362" t="s">
        <v>147</v>
      </c>
      <c r="H21" s="28">
        <v>7.1</v>
      </c>
      <c r="I21" s="268" t="s">
        <v>148</v>
      </c>
      <c r="J21" s="272" t="s">
        <v>144</v>
      </c>
      <c r="K21" s="30"/>
      <c r="L21" s="24"/>
      <c r="M21" s="32" t="str">
        <f>IF(OR(Q21=$AC$11,Q21=AC13),K21,"")</f>
        <v/>
      </c>
      <c r="N21" s="32" t="str">
        <f>IF(Q21=AC14,K21,"")</f>
        <v/>
      </c>
      <c r="O21" s="32"/>
      <c r="P21" s="32"/>
      <c r="Q21" s="193"/>
      <c r="R21" s="135"/>
      <c r="S21" s="290"/>
      <c r="T21" s="255"/>
      <c r="U21" s="256"/>
      <c r="V21" s="256"/>
      <c r="W21" s="290"/>
      <c r="X21" s="255"/>
      <c r="Y21" s="256"/>
      <c r="Z21" s="256"/>
      <c r="AC21" s="105"/>
      <c r="AD21" s="105"/>
      <c r="AE21" s="105"/>
    </row>
    <row r="22" spans="1:31" ht="45" customHeight="1">
      <c r="C22" s="291"/>
      <c r="E22" s="28"/>
      <c r="F22" s="357"/>
      <c r="G22" s="363"/>
      <c r="H22" s="28">
        <v>7.2</v>
      </c>
      <c r="I22" s="268" t="s">
        <v>149</v>
      </c>
      <c r="J22" s="40">
        <v>1</v>
      </c>
      <c r="K22" s="42"/>
      <c r="L22" s="24" t="str">
        <f>IF(AND(K22&gt;0,$K$21&lt;&gt;$AD$10),"!","")</f>
        <v/>
      </c>
      <c r="M22" s="32" t="str">
        <f>IF(OR(Q22=$AC$11,Q22=AC13),K22,"")</f>
        <v/>
      </c>
      <c r="N22" s="32" t="str">
        <f>IF(Q22=AC14,K22,"")</f>
        <v/>
      </c>
      <c r="O22" s="32"/>
      <c r="P22" s="32"/>
      <c r="Q22" s="193"/>
      <c r="R22" s="135"/>
      <c r="S22" s="290"/>
      <c r="T22" s="255"/>
      <c r="U22" s="256"/>
      <c r="V22" s="256"/>
      <c r="W22" s="290"/>
      <c r="X22" s="255"/>
      <c r="Y22" s="256"/>
      <c r="Z22" s="256"/>
      <c r="AC22" s="105"/>
      <c r="AD22" s="105"/>
      <c r="AE22" s="105"/>
    </row>
    <row r="23" spans="1:31" ht="45" customHeight="1">
      <c r="E23" s="28"/>
      <c r="F23" s="358"/>
      <c r="G23" s="364"/>
      <c r="H23" s="28">
        <v>7.3</v>
      </c>
      <c r="I23" s="268" t="s">
        <v>150</v>
      </c>
      <c r="J23" s="40">
        <v>1</v>
      </c>
      <c r="K23" s="42"/>
      <c r="L23" s="24" t="str">
        <f>IF(AND(K23&gt;0,$K$21&lt;&gt;$AD$10),"!","")</f>
        <v/>
      </c>
      <c r="M23" s="32" t="str">
        <f>IF(OR(Q23=$AC$11,Q23=AC13),K23,"")</f>
        <v/>
      </c>
      <c r="N23" s="32" t="str">
        <f>IF(Q23=AC14,K23,"")</f>
        <v/>
      </c>
      <c r="O23" s="32"/>
      <c r="P23" s="32"/>
      <c r="Q23" s="193"/>
      <c r="R23" s="135"/>
      <c r="S23" s="290"/>
      <c r="T23" s="255"/>
      <c r="U23" s="256"/>
      <c r="V23" s="256"/>
      <c r="W23" s="290"/>
      <c r="X23" s="255"/>
      <c r="Y23" s="256"/>
      <c r="Z23" s="256"/>
      <c r="AC23" s="105"/>
      <c r="AD23" s="105"/>
      <c r="AE23" s="105"/>
    </row>
    <row r="24" spans="1:31" ht="45" customHeight="1">
      <c r="C24" s="291"/>
      <c r="E24" s="28"/>
      <c r="F24" s="367" t="s">
        <v>151</v>
      </c>
      <c r="G24" s="369" t="s">
        <v>116</v>
      </c>
      <c r="H24" s="28" t="s">
        <v>152</v>
      </c>
      <c r="I24" s="268" t="s">
        <v>153</v>
      </c>
      <c r="J24" s="40">
        <f>IF(G24=AA10,1,"0")</f>
        <v>1</v>
      </c>
      <c r="K24" s="42"/>
      <c r="L24" s="24" t="str">
        <f>IF(AND(K24&gt;0,G24="Prescriptive Pathway"),"!","")</f>
        <v/>
      </c>
      <c r="M24" s="32" t="str">
        <f>IF(OR(Q24=$AC$11,Q24=AC13),K24,"")</f>
        <v/>
      </c>
      <c r="N24" s="32" t="str">
        <f>IF(Q24=AC14,K24,"")</f>
        <v/>
      </c>
      <c r="O24" s="32"/>
      <c r="P24" s="32"/>
      <c r="Q24" s="193"/>
      <c r="R24" s="135"/>
      <c r="S24" s="290"/>
      <c r="T24" s="255"/>
      <c r="U24" s="256"/>
      <c r="V24" s="256"/>
      <c r="W24" s="290"/>
      <c r="X24" s="255"/>
      <c r="Y24" s="256"/>
      <c r="Z24" s="256"/>
      <c r="AA24" s="9" t="s">
        <v>116</v>
      </c>
      <c r="AC24" s="105"/>
      <c r="AD24" s="105"/>
      <c r="AE24" s="105"/>
    </row>
    <row r="25" spans="1:31" ht="45" customHeight="1">
      <c r="C25" s="291"/>
      <c r="E25" s="28"/>
      <c r="F25" s="368"/>
      <c r="G25" s="370"/>
      <c r="H25" s="28" t="s">
        <v>154</v>
      </c>
      <c r="I25" s="268" t="s">
        <v>155</v>
      </c>
      <c r="J25" s="40" t="str">
        <f>IF(G24=AA11,1,"0")</f>
        <v>0</v>
      </c>
      <c r="K25" s="42"/>
      <c r="L25" s="24" t="str">
        <f>IF(AND(K25&gt;0,G24="Performance Pathway"),"!","")</f>
        <v/>
      </c>
      <c r="M25" s="32" t="str">
        <f>IF(OR(Q25=$AC$11,Q25=AC13),K25,"")</f>
        <v/>
      </c>
      <c r="N25" s="32" t="str">
        <f>IF(Q25=AC14,K25,"")</f>
        <v/>
      </c>
      <c r="O25" s="32"/>
      <c r="P25" s="32"/>
      <c r="Q25" s="193"/>
      <c r="R25" s="135"/>
      <c r="S25" s="290"/>
      <c r="T25" s="255"/>
      <c r="U25" s="256"/>
      <c r="V25" s="256"/>
      <c r="W25" s="290"/>
      <c r="X25" s="255"/>
      <c r="Y25" s="256"/>
      <c r="Z25" s="256"/>
      <c r="AA25" s="11" t="s">
        <v>156</v>
      </c>
    </row>
    <row r="26" spans="1:31" ht="37.5" customHeight="1">
      <c r="E26" s="44"/>
      <c r="F26" s="44" t="s">
        <v>27</v>
      </c>
      <c r="G26" s="44"/>
      <c r="H26" s="45"/>
      <c r="I26" s="44"/>
      <c r="J26" s="45">
        <f>SUM(J9:J25)</f>
        <v>15</v>
      </c>
      <c r="K26" s="45">
        <f>SUM(K9:K25)</f>
        <v>0</v>
      </c>
      <c r="L26" s="24" t="str">
        <f>IF(K26&gt;J26,"!","")</f>
        <v/>
      </c>
      <c r="M26" s="46">
        <f>SUM(M9:M25)</f>
        <v>0</v>
      </c>
      <c r="N26" s="46">
        <f>SUM(N9:N25)</f>
        <v>0</v>
      </c>
      <c r="O26" s="47"/>
      <c r="P26" s="47"/>
      <c r="Q26" s="181"/>
      <c r="R26" s="8"/>
      <c r="S26" s="232"/>
      <c r="T26" s="9"/>
      <c r="U26" s="232"/>
      <c r="V26" s="232"/>
      <c r="W26" s="232"/>
      <c r="X26" s="9"/>
      <c r="Y26" s="232"/>
      <c r="Z26" s="232"/>
    </row>
    <row r="27" spans="1:31" ht="45" customHeight="1">
      <c r="F27" s="48"/>
      <c r="G27" s="48"/>
      <c r="H27" s="50"/>
      <c r="I27" s="51"/>
      <c r="J27" s="52"/>
      <c r="K27" s="52"/>
      <c r="L27" s="24"/>
      <c r="M27" s="52"/>
      <c r="Q27" s="194"/>
      <c r="R27" s="33"/>
      <c r="T27" s="9"/>
      <c r="U27" s="258"/>
      <c r="V27" s="258"/>
      <c r="X27" s="9"/>
      <c r="Y27" s="258"/>
      <c r="Z27" s="258"/>
    </row>
    <row r="28" spans="1:31" ht="45" customHeight="1">
      <c r="E28" s="26"/>
      <c r="F28" s="371" t="s">
        <v>157</v>
      </c>
      <c r="G28" s="371"/>
      <c r="H28" s="371"/>
      <c r="I28" s="371"/>
      <c r="J28" s="165">
        <v>17</v>
      </c>
      <c r="K28" s="54"/>
      <c r="L28" s="24"/>
      <c r="M28" s="165"/>
      <c r="N28" s="165"/>
      <c r="O28" s="165"/>
      <c r="P28" s="165"/>
      <c r="Q28" s="182"/>
      <c r="R28" s="55"/>
      <c r="S28" s="233"/>
      <c r="T28" s="243"/>
      <c r="U28" s="233"/>
      <c r="V28" s="233"/>
      <c r="W28" s="233"/>
      <c r="X28" s="243"/>
      <c r="Y28" s="233"/>
      <c r="Z28" s="233"/>
    </row>
    <row r="29" spans="1:31" ht="45" customHeight="1">
      <c r="A29" s="152">
        <v>1</v>
      </c>
      <c r="B29" s="152">
        <f>IF(C29=TRUE,A29,0)</f>
        <v>0</v>
      </c>
      <c r="C29" s="152" t="b">
        <v>0</v>
      </c>
      <c r="E29" s="28"/>
      <c r="F29" s="365" t="s">
        <v>158</v>
      </c>
      <c r="G29" s="366" t="s">
        <v>159</v>
      </c>
      <c r="H29" s="28">
        <v>9.1</v>
      </c>
      <c r="I29" s="57" t="s">
        <v>160</v>
      </c>
      <c r="J29" s="58">
        <f t="shared" ref="J29:J34" si="0">IF(OR(C29=FALSE,Q29=$AC$14),A29,0)</f>
        <v>1</v>
      </c>
      <c r="K29" s="59"/>
      <c r="L29" s="24" t="str">
        <f>IF(K29&gt;J29,"!","")</f>
        <v/>
      </c>
      <c r="M29" s="32" t="str">
        <f>IF(OR(Q29=$AC$11,Q29=$AC$12, Q29=$AC$13),K29,"")</f>
        <v/>
      </c>
      <c r="N29" s="32" t="str">
        <f>IF(Q29=AC14,K29,"")</f>
        <v/>
      </c>
      <c r="O29" s="32"/>
      <c r="P29" s="32"/>
      <c r="Q29" s="193"/>
      <c r="R29" s="135"/>
      <c r="S29" s="290"/>
      <c r="T29" s="255"/>
      <c r="U29" s="256"/>
      <c r="V29" s="256"/>
      <c r="W29" s="290"/>
      <c r="X29" s="255"/>
      <c r="Y29" s="256"/>
      <c r="Z29" s="256"/>
    </row>
    <row r="30" spans="1:31" ht="45" customHeight="1">
      <c r="A30" s="152">
        <v>2</v>
      </c>
      <c r="B30" s="152">
        <f t="shared" ref="B30:B45" si="1">IF(C30=TRUE,A30,0)</f>
        <v>0</v>
      </c>
      <c r="C30" s="152" t="b">
        <v>0</v>
      </c>
      <c r="E30" s="28"/>
      <c r="F30" s="365"/>
      <c r="G30" s="366"/>
      <c r="H30" s="28">
        <v>9.1999999999999993</v>
      </c>
      <c r="I30" s="57" t="s">
        <v>161</v>
      </c>
      <c r="J30" s="58">
        <f t="shared" si="0"/>
        <v>2</v>
      </c>
      <c r="K30" s="59"/>
      <c r="L30" s="24" t="str">
        <f t="shared" ref="L30:L34" si="2">IF(K30&gt;J30,"!","")</f>
        <v/>
      </c>
      <c r="M30" s="32" t="str">
        <f t="shared" ref="M30:M45" si="3">IF(OR(Q30=$AC$11,Q30=$AC$12, Q30=$AC$13),K30,"")</f>
        <v/>
      </c>
      <c r="N30" s="32" t="str">
        <f>IF(Q30=AC14,K30,"")</f>
        <v/>
      </c>
      <c r="O30" s="32"/>
      <c r="P30" s="32"/>
      <c r="Q30" s="193"/>
      <c r="R30" s="135"/>
      <c r="S30" s="290"/>
      <c r="T30" s="255"/>
      <c r="U30" s="256"/>
      <c r="V30" s="256"/>
      <c r="W30" s="290"/>
      <c r="X30" s="255"/>
      <c r="Y30" s="256"/>
      <c r="Z30" s="256"/>
    </row>
    <row r="31" spans="1:31" ht="45" customHeight="1">
      <c r="A31" s="152">
        <v>1</v>
      </c>
      <c r="B31" s="152">
        <f t="shared" si="1"/>
        <v>0</v>
      </c>
      <c r="C31" s="152" t="b">
        <v>0</v>
      </c>
      <c r="E31" s="28"/>
      <c r="F31" s="365"/>
      <c r="G31" s="366"/>
      <c r="H31" s="28">
        <v>9.3000000000000007</v>
      </c>
      <c r="I31" s="57" t="s">
        <v>162</v>
      </c>
      <c r="J31" s="58">
        <f t="shared" si="0"/>
        <v>1</v>
      </c>
      <c r="K31" s="59"/>
      <c r="L31" s="24" t="str">
        <f t="shared" si="2"/>
        <v/>
      </c>
      <c r="M31" s="32" t="str">
        <f t="shared" si="3"/>
        <v/>
      </c>
      <c r="N31" s="32" t="str">
        <f>IF(Q31=AC14,K31,"")</f>
        <v/>
      </c>
      <c r="O31" s="32"/>
      <c r="P31" s="32"/>
      <c r="Q31" s="193"/>
      <c r="R31" s="135"/>
      <c r="S31" s="290"/>
      <c r="T31" s="255"/>
      <c r="U31" s="256"/>
      <c r="V31" s="256"/>
      <c r="W31" s="290"/>
      <c r="X31" s="255"/>
      <c r="Y31" s="256"/>
      <c r="Z31" s="256"/>
    </row>
    <row r="32" spans="1:31" ht="45" customHeight="1">
      <c r="A32" s="152">
        <v>1</v>
      </c>
      <c r="B32" s="152">
        <f t="shared" si="1"/>
        <v>0</v>
      </c>
      <c r="C32" s="152" t="b">
        <v>0</v>
      </c>
      <c r="E32" s="28"/>
      <c r="F32" s="365" t="s">
        <v>163</v>
      </c>
      <c r="G32" s="366" t="s">
        <v>164</v>
      </c>
      <c r="H32" s="28">
        <v>10.1</v>
      </c>
      <c r="I32" s="57" t="s">
        <v>165</v>
      </c>
      <c r="J32" s="58">
        <f t="shared" si="0"/>
        <v>1</v>
      </c>
      <c r="K32" s="59"/>
      <c r="L32" s="24" t="str">
        <f t="shared" si="2"/>
        <v/>
      </c>
      <c r="M32" s="32" t="str">
        <f t="shared" si="3"/>
        <v/>
      </c>
      <c r="N32" s="32" t="str">
        <f>IF(Q32=AC14,K32,"")</f>
        <v/>
      </c>
      <c r="O32" s="32"/>
      <c r="P32" s="32"/>
      <c r="Q32" s="193"/>
      <c r="R32" s="135"/>
      <c r="S32" s="290"/>
      <c r="T32" s="255"/>
      <c r="U32" s="256"/>
      <c r="V32" s="256"/>
      <c r="W32" s="290"/>
      <c r="X32" s="255"/>
      <c r="Y32" s="256"/>
      <c r="Z32" s="256"/>
    </row>
    <row r="33" spans="1:26" ht="45" customHeight="1">
      <c r="A33" s="152">
        <v>1</v>
      </c>
      <c r="B33" s="152">
        <f t="shared" si="1"/>
        <v>0</v>
      </c>
      <c r="C33" s="152" t="b">
        <v>0</v>
      </c>
      <c r="E33" s="28"/>
      <c r="F33" s="365"/>
      <c r="G33" s="366"/>
      <c r="H33" s="28">
        <v>10.199999999999999</v>
      </c>
      <c r="I33" s="57" t="s">
        <v>166</v>
      </c>
      <c r="J33" s="58">
        <f t="shared" si="0"/>
        <v>1</v>
      </c>
      <c r="K33" s="59"/>
      <c r="L33" s="24" t="str">
        <f t="shared" si="2"/>
        <v/>
      </c>
      <c r="M33" s="32" t="str">
        <f t="shared" si="3"/>
        <v/>
      </c>
      <c r="N33" s="32" t="str">
        <f>IF(Q33=AC14,K33,"")</f>
        <v/>
      </c>
      <c r="O33" s="32"/>
      <c r="P33" s="32"/>
      <c r="Q33" s="193"/>
      <c r="R33" s="135"/>
      <c r="S33" s="290"/>
      <c r="T33" s="255"/>
      <c r="U33" s="256"/>
      <c r="V33" s="256"/>
      <c r="W33" s="290"/>
      <c r="X33" s="255"/>
      <c r="Y33" s="256"/>
      <c r="Z33" s="256"/>
    </row>
    <row r="34" spans="1:26" ht="45" customHeight="1">
      <c r="A34" s="152">
        <v>1</v>
      </c>
      <c r="B34" s="152">
        <f t="shared" si="1"/>
        <v>0</v>
      </c>
      <c r="C34" s="152" t="b">
        <v>0</v>
      </c>
      <c r="E34" s="28"/>
      <c r="F34" s="365"/>
      <c r="G34" s="366"/>
      <c r="H34" s="28">
        <v>10.3</v>
      </c>
      <c r="I34" s="57" t="s">
        <v>167</v>
      </c>
      <c r="J34" s="58">
        <f t="shared" si="0"/>
        <v>1</v>
      </c>
      <c r="K34" s="59"/>
      <c r="L34" s="24" t="str">
        <f t="shared" si="2"/>
        <v/>
      </c>
      <c r="M34" s="32" t="str">
        <f t="shared" si="3"/>
        <v/>
      </c>
      <c r="N34" s="32" t="str">
        <f>IF(Q34=AC14,K34,"")</f>
        <v/>
      </c>
      <c r="O34" s="32"/>
      <c r="P34" s="32"/>
      <c r="Q34" s="193"/>
      <c r="R34" s="135"/>
      <c r="S34" s="290"/>
      <c r="T34" s="255"/>
      <c r="U34" s="256"/>
      <c r="V34" s="256"/>
      <c r="W34" s="290"/>
      <c r="X34" s="255"/>
      <c r="Y34" s="256"/>
      <c r="Z34" s="256"/>
    </row>
    <row r="35" spans="1:26" ht="45" customHeight="1">
      <c r="E35" s="28"/>
      <c r="F35" s="365" t="s">
        <v>168</v>
      </c>
      <c r="G35" s="366" t="s">
        <v>169</v>
      </c>
      <c r="H35" s="28">
        <v>11.1</v>
      </c>
      <c r="I35" s="57" t="s">
        <v>170</v>
      </c>
      <c r="J35" s="273" t="s">
        <v>144</v>
      </c>
      <c r="K35" s="30"/>
      <c r="L35" s="24"/>
      <c r="M35" s="32" t="str">
        <f t="shared" si="3"/>
        <v/>
      </c>
      <c r="N35" s="32" t="str">
        <f>IF(Q35=AC14,K35,"")</f>
        <v/>
      </c>
      <c r="O35" s="32"/>
      <c r="P35" s="32"/>
      <c r="Q35" s="193"/>
      <c r="R35" s="135"/>
      <c r="S35" s="290"/>
      <c r="T35" s="255"/>
      <c r="U35" s="256"/>
      <c r="V35" s="256"/>
      <c r="W35" s="290"/>
      <c r="X35" s="255"/>
      <c r="Y35" s="256"/>
      <c r="Z35" s="256"/>
    </row>
    <row r="36" spans="1:26" ht="45" customHeight="1">
      <c r="A36" s="152">
        <v>1</v>
      </c>
      <c r="B36" s="152">
        <f t="shared" si="1"/>
        <v>0</v>
      </c>
      <c r="C36" s="152" t="b">
        <v>0</v>
      </c>
      <c r="E36" s="28"/>
      <c r="F36" s="365"/>
      <c r="G36" s="366"/>
      <c r="H36" s="28">
        <v>11.2</v>
      </c>
      <c r="I36" s="57" t="s">
        <v>171</v>
      </c>
      <c r="J36" s="58">
        <f>IF(OR(C36=FALSE,Q36=$AC$14),A36,0)</f>
        <v>1</v>
      </c>
      <c r="K36" s="59"/>
      <c r="L36" s="24" t="str">
        <f>IF(OR(K36&gt;J36,AND(K36&gt;0,$K$35&lt;&gt;$AD$10)),"!","")</f>
        <v/>
      </c>
      <c r="M36" s="32" t="str">
        <f t="shared" si="3"/>
        <v/>
      </c>
      <c r="N36" s="32" t="str">
        <f>IF(Q36=AC14,K36,"")</f>
        <v/>
      </c>
      <c r="O36" s="32"/>
      <c r="P36" s="32"/>
      <c r="Q36" s="193"/>
      <c r="R36" s="135"/>
      <c r="S36" s="290"/>
      <c r="T36" s="255"/>
      <c r="U36" s="256"/>
      <c r="V36" s="256"/>
      <c r="W36" s="290"/>
      <c r="X36" s="255"/>
      <c r="Y36" s="256"/>
      <c r="Z36" s="256"/>
    </row>
    <row r="37" spans="1:26" ht="45" customHeight="1">
      <c r="A37" s="152">
        <v>1</v>
      </c>
      <c r="B37" s="152">
        <f t="shared" si="1"/>
        <v>0</v>
      </c>
      <c r="C37" s="152" t="b">
        <v>0</v>
      </c>
      <c r="E37" s="28"/>
      <c r="F37" s="365"/>
      <c r="G37" s="366"/>
      <c r="H37" s="28">
        <v>11.3</v>
      </c>
      <c r="I37" s="57" t="s">
        <v>172</v>
      </c>
      <c r="J37" s="58">
        <f>IF(OR(C37=FALSE,Q37=$AC$14),A37,0)</f>
        <v>1</v>
      </c>
      <c r="K37" s="59"/>
      <c r="L37" s="24" t="str">
        <f t="shared" ref="L37:L38" si="4">IF(OR(K37&gt;J37,AND(K37&gt;0,$K$35&lt;&gt;$AD$10)),"!","")</f>
        <v/>
      </c>
      <c r="M37" s="32" t="str">
        <f t="shared" si="3"/>
        <v/>
      </c>
      <c r="N37" s="32" t="str">
        <f>IF(Q37=AC14,K37,"")</f>
        <v/>
      </c>
      <c r="O37" s="32"/>
      <c r="P37" s="32"/>
      <c r="Q37" s="193"/>
      <c r="R37" s="135"/>
      <c r="S37" s="290"/>
      <c r="T37" s="255"/>
      <c r="U37" s="256"/>
      <c r="V37" s="256"/>
      <c r="W37" s="290"/>
      <c r="X37" s="255"/>
      <c r="Y37" s="256"/>
      <c r="Z37" s="256"/>
    </row>
    <row r="38" spans="1:26" ht="45" customHeight="1">
      <c r="A38" s="152">
        <v>1</v>
      </c>
      <c r="B38" s="152">
        <f t="shared" si="1"/>
        <v>0</v>
      </c>
      <c r="C38" s="152" t="b">
        <v>0</v>
      </c>
      <c r="E38" s="28"/>
      <c r="F38" s="365"/>
      <c r="G38" s="366"/>
      <c r="H38" s="28">
        <v>11.4</v>
      </c>
      <c r="I38" s="57" t="s">
        <v>173</v>
      </c>
      <c r="J38" s="58">
        <f>IF(OR(C38=FALSE,Q38=$AC$14),A38,0)</f>
        <v>1</v>
      </c>
      <c r="K38" s="59"/>
      <c r="L38" s="24" t="str">
        <f t="shared" si="4"/>
        <v/>
      </c>
      <c r="M38" s="32" t="str">
        <f t="shared" si="3"/>
        <v/>
      </c>
      <c r="N38" s="32" t="str">
        <f>IF(Q38=AC14,K38,"")</f>
        <v/>
      </c>
      <c r="O38" s="32"/>
      <c r="P38" s="32"/>
      <c r="Q38" s="193"/>
      <c r="R38" s="135"/>
      <c r="S38" s="290"/>
      <c r="T38" s="255"/>
      <c r="U38" s="256"/>
      <c r="V38" s="256"/>
      <c r="W38" s="290"/>
      <c r="X38" s="255"/>
      <c r="Y38" s="256"/>
      <c r="Z38" s="256"/>
    </row>
    <row r="39" spans="1:26" ht="45" customHeight="1">
      <c r="E39" s="28"/>
      <c r="F39" s="365" t="s">
        <v>174</v>
      </c>
      <c r="G39" s="366" t="s">
        <v>175</v>
      </c>
      <c r="H39" s="28">
        <v>12.1</v>
      </c>
      <c r="I39" s="57" t="s">
        <v>176</v>
      </c>
      <c r="J39" s="273" t="s">
        <v>144</v>
      </c>
      <c r="K39" s="30"/>
      <c r="L39" s="24"/>
      <c r="M39" s="32" t="str">
        <f t="shared" si="3"/>
        <v/>
      </c>
      <c r="N39" s="32" t="str">
        <f>IF(Q39=AC14,K39,"")</f>
        <v/>
      </c>
      <c r="O39" s="32"/>
      <c r="P39" s="32"/>
      <c r="Q39" s="193"/>
      <c r="R39" s="135"/>
      <c r="S39" s="290"/>
      <c r="T39" s="255"/>
      <c r="U39" s="256"/>
      <c r="V39" s="256"/>
      <c r="W39" s="290"/>
      <c r="X39" s="255"/>
      <c r="Y39" s="256"/>
      <c r="Z39" s="256"/>
    </row>
    <row r="40" spans="1:26" ht="45" customHeight="1">
      <c r="A40" s="152">
        <v>2</v>
      </c>
      <c r="B40" s="152">
        <f t="shared" si="1"/>
        <v>0</v>
      </c>
      <c r="C40" s="152" t="b">
        <v>0</v>
      </c>
      <c r="E40" s="28"/>
      <c r="F40" s="365"/>
      <c r="G40" s="366"/>
      <c r="H40" s="28">
        <v>12.2</v>
      </c>
      <c r="I40" s="57" t="s">
        <v>177</v>
      </c>
      <c r="J40" s="58">
        <f t="shared" ref="J40:J45" si="5">IF(OR(C40=FALSE,Q40=$AC$14),A40,0)</f>
        <v>2</v>
      </c>
      <c r="K40" s="59"/>
      <c r="L40" s="24" t="str">
        <f>IF(OR(K40&gt;J40,AND(K40&gt;0,$K$39&lt;&gt;$AD$10)),"!","")</f>
        <v/>
      </c>
      <c r="M40" s="32" t="str">
        <f t="shared" si="3"/>
        <v/>
      </c>
      <c r="N40" s="32" t="str">
        <f>IF(Q40=AC14,K40,"")</f>
        <v/>
      </c>
      <c r="O40" s="32"/>
      <c r="P40" s="32"/>
      <c r="Q40" s="193"/>
      <c r="R40" s="135"/>
      <c r="S40" s="290"/>
      <c r="T40" s="255"/>
      <c r="U40" s="256"/>
      <c r="V40" s="256"/>
      <c r="W40" s="290"/>
      <c r="X40" s="255"/>
      <c r="Y40" s="256"/>
      <c r="Z40" s="256"/>
    </row>
    <row r="41" spans="1:26" ht="45" customHeight="1">
      <c r="A41" s="152">
        <v>1</v>
      </c>
      <c r="B41" s="152">
        <f t="shared" si="1"/>
        <v>0</v>
      </c>
      <c r="C41" s="152" t="b">
        <v>0</v>
      </c>
      <c r="E41" s="28"/>
      <c r="F41" s="365"/>
      <c r="G41" s="366"/>
      <c r="H41" s="28">
        <v>12.3</v>
      </c>
      <c r="I41" s="57" t="s">
        <v>178</v>
      </c>
      <c r="J41" s="58">
        <f t="shared" si="5"/>
        <v>1</v>
      </c>
      <c r="K41" s="59"/>
      <c r="L41" s="24" t="str">
        <f t="shared" ref="L41" si="6">IF(OR(K41&gt;J41,AND(K41&gt;0,$K$39&lt;&gt;$AD$10)),"!","")</f>
        <v/>
      </c>
      <c r="M41" s="32" t="str">
        <f t="shared" si="3"/>
        <v/>
      </c>
      <c r="N41" s="32" t="str">
        <f>IF(Q41=AC14,K41,"")</f>
        <v/>
      </c>
      <c r="O41" s="32"/>
      <c r="P41" s="32"/>
      <c r="Q41" s="193"/>
      <c r="R41" s="135"/>
      <c r="S41" s="290"/>
      <c r="T41" s="255"/>
      <c r="U41" s="256"/>
      <c r="V41" s="256"/>
      <c r="W41" s="290"/>
      <c r="X41" s="255"/>
      <c r="Y41" s="256"/>
      <c r="Z41" s="256"/>
    </row>
    <row r="42" spans="1:26" ht="45" customHeight="1">
      <c r="A42" s="152">
        <v>1</v>
      </c>
      <c r="B42" s="152">
        <f t="shared" si="1"/>
        <v>0</v>
      </c>
      <c r="C42" s="152" t="b">
        <v>0</v>
      </c>
      <c r="E42" s="28"/>
      <c r="F42" s="365" t="s">
        <v>179</v>
      </c>
      <c r="G42" s="366" t="s">
        <v>180</v>
      </c>
      <c r="H42" s="28">
        <v>13.1</v>
      </c>
      <c r="I42" s="57" t="s">
        <v>181</v>
      </c>
      <c r="J42" s="58">
        <f t="shared" si="5"/>
        <v>1</v>
      </c>
      <c r="K42" s="59"/>
      <c r="L42" s="24" t="str">
        <f t="shared" ref="L42:L45" si="7">IF(K42&gt;J42,"!","")</f>
        <v/>
      </c>
      <c r="M42" s="32" t="str">
        <f t="shared" si="3"/>
        <v/>
      </c>
      <c r="N42" s="32" t="str">
        <f>IF(Q42=AC14,K42,"")</f>
        <v/>
      </c>
      <c r="O42" s="32"/>
      <c r="P42" s="32"/>
      <c r="Q42" s="193"/>
      <c r="R42" s="135"/>
      <c r="S42" s="290"/>
      <c r="T42" s="255"/>
      <c r="U42" s="256"/>
      <c r="V42" s="256"/>
      <c r="W42" s="290"/>
      <c r="X42" s="255"/>
      <c r="Y42" s="256"/>
      <c r="Z42" s="256"/>
    </row>
    <row r="43" spans="1:26" ht="45" customHeight="1">
      <c r="A43" s="152">
        <v>1</v>
      </c>
      <c r="B43" s="152">
        <f t="shared" si="1"/>
        <v>0</v>
      </c>
      <c r="C43" s="152" t="b">
        <v>0</v>
      </c>
      <c r="E43" s="28"/>
      <c r="F43" s="365"/>
      <c r="G43" s="366"/>
      <c r="H43" s="28">
        <v>13.2</v>
      </c>
      <c r="I43" s="57" t="s">
        <v>182</v>
      </c>
      <c r="J43" s="58">
        <f t="shared" si="5"/>
        <v>1</v>
      </c>
      <c r="K43" s="59"/>
      <c r="L43" s="24" t="str">
        <f t="shared" si="7"/>
        <v/>
      </c>
      <c r="M43" s="32" t="str">
        <f t="shared" si="3"/>
        <v/>
      </c>
      <c r="N43" s="32" t="str">
        <f>IF(Q43=AC14,K43,"")</f>
        <v/>
      </c>
      <c r="O43" s="32"/>
      <c r="P43" s="32"/>
      <c r="Q43" s="193"/>
      <c r="R43" s="135"/>
      <c r="S43" s="290"/>
      <c r="T43" s="255"/>
      <c r="U43" s="256"/>
      <c r="V43" s="256"/>
      <c r="W43" s="290"/>
      <c r="X43" s="255"/>
      <c r="Y43" s="256"/>
      <c r="Z43" s="256"/>
    </row>
    <row r="44" spans="1:26" ht="45" customHeight="1">
      <c r="A44" s="152">
        <v>1</v>
      </c>
      <c r="B44" s="152">
        <f t="shared" si="1"/>
        <v>0</v>
      </c>
      <c r="C44" s="152" t="b">
        <v>0</v>
      </c>
      <c r="E44" s="28"/>
      <c r="F44" s="365" t="s">
        <v>183</v>
      </c>
      <c r="G44" s="366" t="s">
        <v>184</v>
      </c>
      <c r="H44" s="28">
        <v>14.1</v>
      </c>
      <c r="I44" s="57" t="s">
        <v>183</v>
      </c>
      <c r="J44" s="58">
        <f t="shared" si="5"/>
        <v>1</v>
      </c>
      <c r="K44" s="59"/>
      <c r="L44" s="24" t="str">
        <f t="shared" si="7"/>
        <v/>
      </c>
      <c r="M44" s="32" t="str">
        <f t="shared" si="3"/>
        <v/>
      </c>
      <c r="N44" s="32" t="str">
        <f>IF(Q44=AC14,K44,"")</f>
        <v/>
      </c>
      <c r="O44" s="32"/>
      <c r="P44" s="32"/>
      <c r="Q44" s="193"/>
      <c r="R44" s="135"/>
      <c r="S44" s="290"/>
      <c r="T44" s="255"/>
      <c r="U44" s="256"/>
      <c r="V44" s="256"/>
      <c r="W44" s="290"/>
      <c r="X44" s="255"/>
      <c r="Y44" s="256"/>
      <c r="Z44" s="256"/>
    </row>
    <row r="45" spans="1:26" ht="45" customHeight="1">
      <c r="A45" s="152">
        <v>1</v>
      </c>
      <c r="B45" s="152">
        <f t="shared" si="1"/>
        <v>0</v>
      </c>
      <c r="C45" s="152" t="b">
        <v>0</v>
      </c>
      <c r="E45" s="28"/>
      <c r="F45" s="372"/>
      <c r="G45" s="362"/>
      <c r="H45" s="28">
        <v>14.2</v>
      </c>
      <c r="I45" s="57" t="s">
        <v>185</v>
      </c>
      <c r="J45" s="58">
        <f t="shared" si="5"/>
        <v>1</v>
      </c>
      <c r="K45" s="59"/>
      <c r="L45" s="24" t="str">
        <f t="shared" si="7"/>
        <v/>
      </c>
      <c r="M45" s="32" t="str">
        <f t="shared" si="3"/>
        <v/>
      </c>
      <c r="N45" s="32" t="str">
        <f>IF(Q45=AC14,K45,"")</f>
        <v/>
      </c>
      <c r="O45" s="32"/>
      <c r="P45" s="32"/>
      <c r="Q45" s="193"/>
      <c r="R45" s="135"/>
      <c r="S45" s="290"/>
      <c r="T45" s="255"/>
      <c r="U45" s="256"/>
      <c r="V45" s="256"/>
      <c r="W45" s="290"/>
      <c r="X45" s="255"/>
      <c r="Y45" s="256"/>
      <c r="Z45" s="256"/>
    </row>
    <row r="46" spans="1:26" ht="45" customHeight="1">
      <c r="E46" s="44"/>
      <c r="F46" s="44" t="s">
        <v>27</v>
      </c>
      <c r="G46" s="44"/>
      <c r="H46" s="45"/>
      <c r="I46" s="44"/>
      <c r="J46" s="45">
        <f>SUM(J29:J45)</f>
        <v>17</v>
      </c>
      <c r="K46" s="45">
        <f>SUM(K29:K45)</f>
        <v>0</v>
      </c>
      <c r="L46" s="24" t="str">
        <f>IF(K46&gt;J46,"!","")</f>
        <v/>
      </c>
      <c r="M46" s="46">
        <f t="shared" ref="M46:N46" si="8">SUM(M29:M45)</f>
        <v>0</v>
      </c>
      <c r="N46" s="46">
        <f t="shared" si="8"/>
        <v>0</v>
      </c>
      <c r="Q46" s="194"/>
      <c r="R46" s="33"/>
      <c r="S46" s="234"/>
      <c r="T46" s="9"/>
      <c r="U46" s="260"/>
      <c r="V46" s="260"/>
      <c r="W46" s="234"/>
      <c r="X46" s="9"/>
      <c r="Y46" s="260"/>
      <c r="Z46" s="260"/>
    </row>
    <row r="47" spans="1:26" ht="45" customHeight="1">
      <c r="F47" s="62"/>
      <c r="G47" s="62"/>
      <c r="H47" s="6"/>
      <c r="I47" s="62"/>
      <c r="J47" s="6"/>
      <c r="K47" s="6"/>
      <c r="L47" s="24"/>
      <c r="M47" s="6"/>
      <c r="N47" s="6"/>
      <c r="O47" s="6"/>
      <c r="P47" s="6"/>
      <c r="Q47" s="195"/>
      <c r="R47" s="33"/>
      <c r="S47" s="234"/>
      <c r="T47" s="9"/>
      <c r="U47" s="260"/>
      <c r="V47" s="260"/>
      <c r="W47" s="234"/>
      <c r="X47" s="9"/>
      <c r="Y47" s="260"/>
      <c r="Z47" s="260"/>
    </row>
    <row r="48" spans="1:26" ht="45" customHeight="1">
      <c r="E48" s="26"/>
      <c r="F48" s="375" t="s">
        <v>186</v>
      </c>
      <c r="G48" s="375"/>
      <c r="H48" s="375"/>
      <c r="I48" s="375"/>
      <c r="J48" s="54">
        <v>20</v>
      </c>
      <c r="K48" s="54"/>
      <c r="L48" s="24"/>
      <c r="M48" s="156"/>
      <c r="N48" s="156"/>
      <c r="O48" s="156"/>
      <c r="P48" s="156"/>
      <c r="Q48" s="182"/>
      <c r="R48" s="174"/>
      <c r="S48" s="235"/>
      <c r="T48" s="243"/>
      <c r="U48" s="235"/>
      <c r="V48" s="235"/>
      <c r="W48" s="235"/>
      <c r="X48" s="243"/>
      <c r="Y48" s="235"/>
      <c r="Z48" s="235"/>
    </row>
    <row r="49" spans="2:27" ht="45" customHeight="1">
      <c r="E49" s="28"/>
      <c r="F49" s="376" t="s">
        <v>187</v>
      </c>
      <c r="G49" s="366" t="s">
        <v>188</v>
      </c>
      <c r="H49" s="159">
        <v>15.1</v>
      </c>
      <c r="I49" s="189" t="s">
        <v>189</v>
      </c>
      <c r="J49" s="274" t="s">
        <v>189</v>
      </c>
      <c r="K49" s="30"/>
      <c r="L49" s="24" t="str">
        <f>IF($K$49=0,"CR","")</f>
        <v>CR</v>
      </c>
      <c r="M49" s="32" t="str">
        <f>IF(OR(Q49=$AC$11, Q49=$AC$12, Q49=$AC$13),K49,"")</f>
        <v/>
      </c>
      <c r="N49" s="32" t="str">
        <f>IF(Q49=AC14,K49,"")</f>
        <v/>
      </c>
      <c r="O49" s="32"/>
      <c r="P49" s="32"/>
      <c r="Q49" s="193"/>
      <c r="R49" s="135"/>
      <c r="S49" s="290"/>
      <c r="T49" s="255"/>
      <c r="U49" s="256"/>
      <c r="V49" s="256"/>
      <c r="W49" s="290"/>
      <c r="X49" s="255"/>
      <c r="Y49" s="256"/>
      <c r="Z49" s="256"/>
    </row>
    <row r="50" spans="2:27" ht="45" customHeight="1">
      <c r="E50" s="28"/>
      <c r="F50" s="377"/>
      <c r="G50" s="362"/>
      <c r="H50" s="159">
        <v>15.2</v>
      </c>
      <c r="I50" s="189" t="s">
        <v>190</v>
      </c>
      <c r="J50" s="113">
        <v>18</v>
      </c>
      <c r="K50" s="87"/>
      <c r="L50" s="24" t="str">
        <f>IF(AND(K50&gt;0,K49&lt;&gt;$AD$10),"!","")</f>
        <v/>
      </c>
      <c r="M50" s="32" t="str">
        <f t="shared" ref="M50:M52" si="9">IF(OR(Q50=$AC$11, Q50=$AC$12, Q50=$AC$13),K50,"")</f>
        <v/>
      </c>
      <c r="N50" s="32" t="str">
        <f>IF(Q50=AC14,K50,"")</f>
        <v/>
      </c>
      <c r="O50" s="32"/>
      <c r="P50" s="32"/>
      <c r="Q50" s="193"/>
      <c r="R50" s="135"/>
      <c r="S50" s="290"/>
      <c r="T50" s="255"/>
      <c r="U50" s="256"/>
      <c r="V50" s="256"/>
      <c r="W50" s="290"/>
      <c r="X50" s="255"/>
      <c r="Y50" s="256"/>
      <c r="Z50" s="256"/>
    </row>
    <row r="51" spans="2:27" ht="45" customHeight="1">
      <c r="E51" s="28"/>
      <c r="F51" s="365" t="s">
        <v>191</v>
      </c>
      <c r="G51" s="373" t="s">
        <v>116</v>
      </c>
      <c r="H51" s="160" t="s">
        <v>192</v>
      </c>
      <c r="I51" s="169" t="s">
        <v>193</v>
      </c>
      <c r="J51" s="109" t="str">
        <f>IF(G51=AA51,1,"0")</f>
        <v>0</v>
      </c>
      <c r="K51" s="87"/>
      <c r="L51" s="24" t="str">
        <f>IF(AND(K51&gt;0,G51="Performance Pathway"),"!","")</f>
        <v/>
      </c>
      <c r="M51" s="32" t="str">
        <f t="shared" si="9"/>
        <v/>
      </c>
      <c r="N51" s="32" t="str">
        <f>IF(Q51=AC14,K51,"")</f>
        <v/>
      </c>
      <c r="O51" s="32"/>
      <c r="P51" s="32"/>
      <c r="Q51" s="193"/>
      <c r="R51" s="135"/>
      <c r="S51" s="290"/>
      <c r="T51" s="255"/>
      <c r="U51" s="256"/>
      <c r="V51" s="256"/>
      <c r="W51" s="290"/>
      <c r="X51" s="255"/>
      <c r="Y51" s="256"/>
      <c r="Z51" s="256"/>
      <c r="AA51" s="9" t="s">
        <v>119</v>
      </c>
    </row>
    <row r="52" spans="2:27" ht="45" customHeight="1">
      <c r="E52" s="28"/>
      <c r="F52" s="372"/>
      <c r="G52" s="374"/>
      <c r="H52" s="161" t="s">
        <v>194</v>
      </c>
      <c r="I52" s="170" t="s">
        <v>195</v>
      </c>
      <c r="J52" s="110">
        <f>IF(G51=AA52,2,"0")</f>
        <v>2</v>
      </c>
      <c r="K52" s="94"/>
      <c r="L52" s="24" t="str">
        <f>IF(AND(K52&gt;0,G51="Prescriptive Pathway"),"!","")</f>
        <v/>
      </c>
      <c r="M52" s="32" t="str">
        <f t="shared" si="9"/>
        <v/>
      </c>
      <c r="N52" s="32" t="str">
        <f>IF(Q52=AC14,K52,"")</f>
        <v/>
      </c>
      <c r="O52" s="32"/>
      <c r="P52" s="32"/>
      <c r="Q52" s="193"/>
      <c r="R52" s="135"/>
      <c r="S52" s="290"/>
      <c r="T52" s="255"/>
      <c r="U52" s="256"/>
      <c r="V52" s="256"/>
      <c r="W52" s="290"/>
      <c r="X52" s="255"/>
      <c r="Y52" s="256"/>
      <c r="Z52" s="256"/>
      <c r="AA52" s="11" t="s">
        <v>116</v>
      </c>
    </row>
    <row r="53" spans="2:27" ht="45" customHeight="1">
      <c r="E53" s="44"/>
      <c r="F53" s="44" t="s">
        <v>27</v>
      </c>
      <c r="G53" s="44"/>
      <c r="H53" s="45"/>
      <c r="I53" s="44"/>
      <c r="J53" s="45">
        <v>20</v>
      </c>
      <c r="K53" s="45">
        <f>SUM(K49:K52)</f>
        <v>0</v>
      </c>
      <c r="L53" s="24" t="str">
        <f>IF(K53&gt;J53,"!","")</f>
        <v/>
      </c>
      <c r="M53" s="46">
        <f>SUM(M49:M52)</f>
        <v>0</v>
      </c>
      <c r="N53" s="46">
        <f>SUM(N49:N52)</f>
        <v>0</v>
      </c>
      <c r="Q53" s="194"/>
      <c r="R53" s="33"/>
      <c r="S53" s="234"/>
      <c r="T53" s="260"/>
      <c r="U53" s="260"/>
      <c r="V53" s="260"/>
      <c r="W53" s="234"/>
      <c r="X53" s="260"/>
      <c r="Y53" s="260"/>
      <c r="Z53" s="260"/>
    </row>
    <row r="54" spans="2:27" ht="45" customHeight="1">
      <c r="L54" s="24"/>
      <c r="Q54" s="194"/>
      <c r="T54" s="258"/>
      <c r="U54" s="258"/>
      <c r="V54" s="258"/>
      <c r="X54" s="258"/>
      <c r="Y54" s="258"/>
      <c r="Z54" s="258"/>
    </row>
    <row r="55" spans="2:27" ht="45" customHeight="1">
      <c r="E55" s="26"/>
      <c r="F55" s="266" t="s">
        <v>196</v>
      </c>
      <c r="G55" s="72"/>
      <c r="H55" s="73"/>
      <c r="I55" s="72"/>
      <c r="J55" s="54">
        <v>10</v>
      </c>
      <c r="K55" s="54"/>
      <c r="L55" s="24"/>
      <c r="M55" s="165"/>
      <c r="N55" s="165"/>
      <c r="O55" s="165"/>
      <c r="P55" s="165"/>
      <c r="Q55" s="182"/>
      <c r="R55" s="33"/>
      <c r="S55" s="233"/>
      <c r="T55" s="243"/>
      <c r="U55" s="233"/>
      <c r="V55" s="233"/>
      <c r="W55" s="233"/>
      <c r="X55" s="243"/>
      <c r="Y55" s="233"/>
      <c r="Z55" s="233"/>
    </row>
    <row r="56" spans="2:27" ht="45" customHeight="1">
      <c r="E56" s="28"/>
      <c r="F56" s="379" t="s">
        <v>197</v>
      </c>
      <c r="G56" s="381" t="s">
        <v>198</v>
      </c>
      <c r="H56" s="159" t="s">
        <v>199</v>
      </c>
      <c r="I56" s="168" t="s">
        <v>200</v>
      </c>
      <c r="J56" s="110" t="str">
        <f>IF(G56=AA57,10,"0")</f>
        <v>0</v>
      </c>
      <c r="K56" s="87"/>
      <c r="L56" s="24" t="str">
        <f>IF(AND(K56&gt;0,G56="17B Prescriptive Pathway"),"!","")</f>
        <v/>
      </c>
      <c r="M56" s="32" t="str">
        <f>IF(OR(Q56=$AC$11,Q56=$AC$12, Q56=$AC$13),K56,"")</f>
        <v/>
      </c>
      <c r="N56" s="32" t="str">
        <f>IF(Q56=AC14,K56,"")</f>
        <v/>
      </c>
      <c r="O56" s="32"/>
      <c r="P56" s="32"/>
      <c r="Q56" s="193"/>
      <c r="R56" s="135"/>
      <c r="S56" s="290"/>
      <c r="T56" s="255"/>
      <c r="U56" s="256"/>
      <c r="V56" s="256"/>
      <c r="W56" s="290"/>
      <c r="X56" s="255"/>
      <c r="Y56" s="256"/>
      <c r="Z56" s="256"/>
    </row>
    <row r="57" spans="2:27" ht="45" customHeight="1">
      <c r="E57" s="28"/>
      <c r="F57" s="380"/>
      <c r="G57" s="382"/>
      <c r="H57" s="159" t="s">
        <v>201</v>
      </c>
      <c r="I57" s="168" t="s">
        <v>202</v>
      </c>
      <c r="J57" s="110">
        <f>IF($G$56=$AA$58,4,"0")</f>
        <v>4</v>
      </c>
      <c r="K57" s="87"/>
      <c r="L57" s="24" t="str">
        <f>IF(AND(K57&gt;0,$G$56="17A Performance Pathway"),"!","")</f>
        <v/>
      </c>
      <c r="M57" s="32" t="str">
        <f t="shared" ref="M57:M61" si="10">IF(OR(Q57=$AC$11,Q57=$AC$12, Q57=$AC$13),K57,"")</f>
        <v/>
      </c>
      <c r="N57" s="32" t="str">
        <f>IF(Q57=AC14,K57,"")</f>
        <v/>
      </c>
      <c r="O57" s="32"/>
      <c r="P57" s="32"/>
      <c r="Q57" s="193"/>
      <c r="R57" s="135"/>
      <c r="S57" s="290"/>
      <c r="T57" s="255"/>
      <c r="U57" s="256"/>
      <c r="V57" s="256"/>
      <c r="W57" s="290"/>
      <c r="X57" s="255"/>
      <c r="Y57" s="256"/>
      <c r="Z57" s="256"/>
      <c r="AA57" s="11" t="s">
        <v>203</v>
      </c>
    </row>
    <row r="58" spans="2:27" ht="45" customHeight="1">
      <c r="B58" s="152">
        <f>IF(AND(C58=TRUE,$G$56=$AA$58),1,0)</f>
        <v>0</v>
      </c>
      <c r="C58" s="152" t="b">
        <v>0</v>
      </c>
      <c r="E58" s="28"/>
      <c r="F58" s="380"/>
      <c r="G58" s="382"/>
      <c r="H58" s="159" t="s">
        <v>204</v>
      </c>
      <c r="I58" s="168" t="s">
        <v>205</v>
      </c>
      <c r="J58" s="113">
        <f>IF(AND($G$56=$AA$58,OR(C58=FALSE,AND(C58=TRUE,Q58=$AC$14))),1,0)</f>
        <v>1</v>
      </c>
      <c r="K58" s="87"/>
      <c r="L58" s="24" t="str">
        <f>IF(OR(K58&gt;J58,AND(K58&gt;0,$G$56="17A Performance Pathway")),"!","")</f>
        <v/>
      </c>
      <c r="M58" s="32" t="str">
        <f t="shared" si="10"/>
        <v/>
      </c>
      <c r="N58" s="32" t="str">
        <f>IF(Q58=AC14,K58,"")</f>
        <v/>
      </c>
      <c r="O58" s="32"/>
      <c r="P58" s="32"/>
      <c r="Q58" s="193"/>
      <c r="R58" s="135"/>
      <c r="S58" s="290"/>
      <c r="T58" s="255"/>
      <c r="U58" s="256"/>
      <c r="V58" s="256"/>
      <c r="W58" s="290"/>
      <c r="X58" s="255"/>
      <c r="Y58" s="256"/>
      <c r="Z58" s="256"/>
      <c r="AA58" s="11" t="s">
        <v>198</v>
      </c>
    </row>
    <row r="59" spans="2:27" ht="45" customHeight="1">
      <c r="B59" s="152">
        <f>IF(AND(C59=TRUE,$G$56=$AA$58),2,0)</f>
        <v>0</v>
      </c>
      <c r="C59" s="152" t="b">
        <v>0</v>
      </c>
      <c r="E59" s="28"/>
      <c r="F59" s="380"/>
      <c r="G59" s="382"/>
      <c r="H59" s="159" t="s">
        <v>206</v>
      </c>
      <c r="I59" s="168" t="s">
        <v>207</v>
      </c>
      <c r="J59" s="113">
        <f>IF(AND($G$56=$AA$58,OR(C59=FALSE,AND(C59=TRUE,Q59=$AC$14))),2,0)</f>
        <v>2</v>
      </c>
      <c r="K59" s="87"/>
      <c r="L59" s="24" t="str">
        <f>IF(OR(K59&gt;J59,AND(K59&gt;0,$G$56="17A Performance Pathway")),"!","")</f>
        <v/>
      </c>
      <c r="M59" s="32" t="str">
        <f t="shared" si="10"/>
        <v/>
      </c>
      <c r="N59" s="32" t="str">
        <f>IF(Q59=AC14,K59,"")</f>
        <v/>
      </c>
      <c r="O59" s="32"/>
      <c r="P59" s="32"/>
      <c r="Q59" s="193"/>
      <c r="R59" s="135"/>
      <c r="S59" s="290"/>
      <c r="T59" s="255"/>
      <c r="U59" s="256"/>
      <c r="V59" s="256"/>
      <c r="W59" s="290"/>
      <c r="X59" s="255"/>
      <c r="Y59" s="256"/>
      <c r="Z59" s="256"/>
    </row>
    <row r="60" spans="2:27" ht="45" customHeight="1">
      <c r="E60" s="28"/>
      <c r="F60" s="380"/>
      <c r="G60" s="382"/>
      <c r="H60" s="159" t="s">
        <v>208</v>
      </c>
      <c r="I60" s="168" t="s">
        <v>209</v>
      </c>
      <c r="J60" s="110">
        <f>IF($G$56=$AA$58,2,"0")</f>
        <v>2</v>
      </c>
      <c r="K60" s="87"/>
      <c r="L60" s="24" t="str">
        <f t="shared" ref="L60:L61" si="11">IF(AND(K60&gt;0,$G$56="17A Performance Pathway"),"!","")</f>
        <v/>
      </c>
      <c r="M60" s="32" t="str">
        <f t="shared" si="10"/>
        <v/>
      </c>
      <c r="N60" s="32" t="str">
        <f>IF(Q60=AC14,K60,"")</f>
        <v/>
      </c>
      <c r="O60" s="32"/>
      <c r="P60" s="32"/>
      <c r="Q60" s="193"/>
      <c r="R60" s="135"/>
      <c r="S60" s="290"/>
      <c r="T60" s="255"/>
      <c r="U60" s="256"/>
      <c r="V60" s="256"/>
      <c r="W60" s="290"/>
      <c r="X60" s="255"/>
      <c r="Y60" s="256"/>
      <c r="Z60" s="256"/>
    </row>
    <row r="61" spans="2:27" ht="45" customHeight="1">
      <c r="E61" s="28"/>
      <c r="F61" s="380"/>
      <c r="G61" s="382"/>
      <c r="H61" s="159" t="s">
        <v>210</v>
      </c>
      <c r="I61" s="168" t="s">
        <v>211</v>
      </c>
      <c r="J61" s="110">
        <f>IF($G$56=$AA$58,1,"0")</f>
        <v>1</v>
      </c>
      <c r="K61" s="87"/>
      <c r="L61" s="24" t="str">
        <f t="shared" si="11"/>
        <v/>
      </c>
      <c r="M61" s="32" t="str">
        <f t="shared" si="10"/>
        <v/>
      </c>
      <c r="N61" s="32" t="str">
        <f>IF(Q61=AC14,K61,"")</f>
        <v/>
      </c>
      <c r="O61" s="32"/>
      <c r="P61" s="32"/>
      <c r="Q61" s="193"/>
      <c r="R61" s="135"/>
      <c r="S61" s="290"/>
      <c r="T61" s="255"/>
      <c r="U61" s="256"/>
      <c r="V61" s="256"/>
      <c r="W61" s="290"/>
      <c r="X61" s="255"/>
      <c r="Y61" s="256"/>
      <c r="Z61" s="256"/>
    </row>
    <row r="62" spans="2:27" ht="45" customHeight="1">
      <c r="E62" s="44"/>
      <c r="F62" s="44" t="s">
        <v>27</v>
      </c>
      <c r="G62" s="44"/>
      <c r="H62" s="45"/>
      <c r="I62" s="44"/>
      <c r="J62" s="45">
        <f>SUM(J56:J61)</f>
        <v>10</v>
      </c>
      <c r="K62" s="45">
        <f>IF(AND(SUM(K57:K61)&gt;10,$G$56=$AA$58),10,SUM(K56:K61))</f>
        <v>0</v>
      </c>
      <c r="L62" s="24" t="str">
        <f>IF(K62&gt;J62,"!","")</f>
        <v/>
      </c>
      <c r="M62" s="45">
        <f>IF(AND(SUM(M57:M61)&gt;7,$G$56=$AA$58),7,SUM(M56:M61))</f>
        <v>0</v>
      </c>
      <c r="N62" s="45">
        <f>IF(AND(SUM(N56:N61)&gt;7,$G$56=$AA$59),7,SUM(N56:N61))</f>
        <v>0</v>
      </c>
      <c r="Q62" s="194"/>
      <c r="R62" s="33"/>
      <c r="S62" s="234"/>
      <c r="T62" s="9"/>
      <c r="U62" s="260"/>
      <c r="V62" s="260"/>
      <c r="W62" s="234"/>
      <c r="X62" s="9"/>
      <c r="Y62" s="260"/>
      <c r="Z62" s="260"/>
    </row>
    <row r="63" spans="2:27" ht="45" customHeight="1">
      <c r="L63" s="24"/>
      <c r="Q63" s="194"/>
      <c r="U63" s="258"/>
      <c r="V63" s="258"/>
      <c r="Y63" s="258"/>
      <c r="Z63" s="258"/>
    </row>
    <row r="64" spans="2:27" ht="45" customHeight="1">
      <c r="E64" s="26"/>
      <c r="F64" s="266" t="s">
        <v>212</v>
      </c>
      <c r="G64" s="72"/>
      <c r="H64" s="73"/>
      <c r="I64" s="72"/>
      <c r="J64" s="54">
        <v>10</v>
      </c>
      <c r="K64" s="54"/>
      <c r="L64" s="24"/>
      <c r="M64" s="165"/>
      <c r="N64" s="165"/>
      <c r="O64" s="165"/>
      <c r="P64" s="165"/>
      <c r="Q64" s="182"/>
      <c r="R64" s="33"/>
      <c r="S64" s="233"/>
      <c r="T64" s="243"/>
      <c r="U64" s="233"/>
      <c r="V64" s="233"/>
      <c r="W64" s="233"/>
      <c r="X64" s="243"/>
      <c r="Y64" s="233"/>
      <c r="Z64" s="233"/>
    </row>
    <row r="65" spans="1:27" ht="45" customHeight="1">
      <c r="E65" s="28"/>
      <c r="F65" s="383" t="s">
        <v>213</v>
      </c>
      <c r="G65" s="381" t="s">
        <v>119</v>
      </c>
      <c r="H65" s="74" t="s">
        <v>214</v>
      </c>
      <c r="I65" s="75" t="s">
        <v>215</v>
      </c>
      <c r="J65" s="76" t="str">
        <f>IF(G65=AA65,10,"0")</f>
        <v>0</v>
      </c>
      <c r="K65" s="83"/>
      <c r="L65" s="24" t="str">
        <f>IF(AND(K65&gt;0,G65="Prescriptive Pathway"),"!","")</f>
        <v/>
      </c>
      <c r="M65" s="32" t="str">
        <f>IF(OR(Q65=$AC$11,Q65=$AC$12, Q65=$AC$13),K65,"")</f>
        <v/>
      </c>
      <c r="N65" s="32" t="str">
        <f>IF(Q65=AC14,K65,"")</f>
        <v/>
      </c>
      <c r="O65" s="32"/>
      <c r="P65" s="32"/>
      <c r="Q65" s="193"/>
      <c r="R65" s="33"/>
      <c r="S65" s="290"/>
      <c r="T65" s="255"/>
      <c r="U65" s="256"/>
      <c r="V65" s="256"/>
      <c r="W65" s="290"/>
      <c r="X65" s="255"/>
      <c r="Y65" s="256"/>
      <c r="Z65" s="256"/>
      <c r="AA65" s="9" t="s">
        <v>116</v>
      </c>
    </row>
    <row r="66" spans="1:27" ht="45" customHeight="1">
      <c r="E66" s="28"/>
      <c r="F66" s="365"/>
      <c r="G66" s="382"/>
      <c r="H66" s="77" t="s">
        <v>216</v>
      </c>
      <c r="I66" s="78" t="s">
        <v>217</v>
      </c>
      <c r="J66" s="79">
        <f>IF($G$65=$AA$66,1,0)</f>
        <v>1</v>
      </c>
      <c r="K66" s="84"/>
      <c r="L66" s="24" t="str">
        <f>IF(AND(K66&gt;0,$G$65="Performance Pathway"),"!","")</f>
        <v/>
      </c>
      <c r="M66" s="32" t="str">
        <f t="shared" ref="M66:M70" si="12">IF(OR(Q66=$AC$11,Q66=$AC$12, Q66=$AC$13),K66,"")</f>
        <v/>
      </c>
      <c r="N66" s="32" t="str">
        <f>IF(Q66=AC14,K66,"")</f>
        <v/>
      </c>
      <c r="O66" s="32"/>
      <c r="P66" s="32"/>
      <c r="Q66" s="193"/>
      <c r="R66" s="33"/>
      <c r="S66" s="290"/>
      <c r="T66" s="255"/>
      <c r="U66" s="256"/>
      <c r="V66" s="256"/>
      <c r="W66" s="290"/>
      <c r="X66" s="255"/>
      <c r="Y66" s="256"/>
      <c r="Z66" s="256"/>
      <c r="AA66" s="9" t="s">
        <v>119</v>
      </c>
    </row>
    <row r="67" spans="1:27" ht="45" customHeight="1">
      <c r="E67" s="28"/>
      <c r="F67" s="365"/>
      <c r="G67" s="382"/>
      <c r="H67" s="77" t="s">
        <v>218</v>
      </c>
      <c r="I67" s="78" t="s">
        <v>219</v>
      </c>
      <c r="J67" s="79">
        <f>IF($G$65=$AA$66,1,0)</f>
        <v>1</v>
      </c>
      <c r="K67" s="84"/>
      <c r="L67" s="24" t="str">
        <f t="shared" ref="L67:L68" si="13">IF(AND(K67&gt;0,$G$65="Performance Pathway"),"!","")</f>
        <v/>
      </c>
      <c r="M67" s="32" t="str">
        <f t="shared" si="12"/>
        <v/>
      </c>
      <c r="N67" s="32" t="str">
        <f>IF(Q67=AC14,K67,"")</f>
        <v/>
      </c>
      <c r="O67" s="32"/>
      <c r="P67" s="32"/>
      <c r="Q67" s="193"/>
      <c r="R67" s="33"/>
      <c r="S67" s="290"/>
      <c r="T67" s="255"/>
      <c r="U67" s="256"/>
      <c r="V67" s="256"/>
      <c r="W67" s="290"/>
      <c r="X67" s="255"/>
      <c r="Y67" s="256"/>
      <c r="Z67" s="256"/>
    </row>
    <row r="68" spans="1:27" ht="45" customHeight="1">
      <c r="E68" s="28"/>
      <c r="F68" s="365"/>
      <c r="G68" s="382"/>
      <c r="H68" s="77" t="s">
        <v>220</v>
      </c>
      <c r="I68" s="294" t="s">
        <v>221</v>
      </c>
      <c r="J68" s="79">
        <f>IF($G$65=$AA$66,1,0)</f>
        <v>1</v>
      </c>
      <c r="K68" s="84"/>
      <c r="L68" s="24" t="str">
        <f t="shared" si="13"/>
        <v/>
      </c>
      <c r="M68" s="32" t="str">
        <f t="shared" si="12"/>
        <v/>
      </c>
      <c r="N68" s="32" t="str">
        <f>IF(Q68=AC14,K68,"")</f>
        <v/>
      </c>
      <c r="O68" s="32"/>
      <c r="P68" s="32"/>
      <c r="Q68" s="193"/>
      <c r="R68" s="33"/>
      <c r="S68" s="290"/>
      <c r="T68" s="255"/>
      <c r="U68" s="256"/>
      <c r="V68" s="256"/>
      <c r="W68" s="290"/>
      <c r="X68" s="255"/>
      <c r="Y68" s="256"/>
      <c r="Z68" s="256"/>
    </row>
    <row r="69" spans="1:27" ht="45" customHeight="1">
      <c r="B69" s="152">
        <f>IF(AND($G$65=$AA$66,C69=TRUE),1,0)</f>
        <v>0</v>
      </c>
      <c r="C69" s="152" t="b">
        <v>0</v>
      </c>
      <c r="E69" s="28"/>
      <c r="F69" s="365"/>
      <c r="G69" s="382"/>
      <c r="H69" s="304" t="s">
        <v>222</v>
      </c>
      <c r="I69" s="294" t="s">
        <v>223</v>
      </c>
      <c r="J69" s="79">
        <f>IF(AND($G$65=$AA$66,OR(C69=FALSE,AND(C69=TRUE,Q69=$AC$14))),1,0)</f>
        <v>1</v>
      </c>
      <c r="K69" s="84"/>
      <c r="L69" s="24" t="str">
        <f>IF(OR(K69&gt;J69,AND(K69&gt;0,$G$65="Performance Pathway")),"!","")</f>
        <v/>
      </c>
      <c r="M69" s="32" t="str">
        <f t="shared" si="12"/>
        <v/>
      </c>
      <c r="N69" s="32" t="str">
        <f>IF(Q69=AC14,K69,"")</f>
        <v/>
      </c>
      <c r="O69" s="32"/>
      <c r="P69" s="32"/>
      <c r="Q69" s="193"/>
      <c r="R69" s="33"/>
      <c r="S69" s="290"/>
      <c r="T69" s="255"/>
      <c r="U69" s="256"/>
      <c r="V69" s="256"/>
      <c r="W69" s="290"/>
      <c r="X69" s="255"/>
      <c r="Y69" s="256"/>
      <c r="Z69" s="256"/>
    </row>
    <row r="70" spans="1:27" ht="45" customHeight="1">
      <c r="B70" s="152">
        <f>IF(AND($G$65=$AA$66,C70=TRUE),1,0)</f>
        <v>0</v>
      </c>
      <c r="C70" s="152" t="b">
        <v>0</v>
      </c>
      <c r="E70" s="28"/>
      <c r="F70" s="372"/>
      <c r="G70" s="384"/>
      <c r="H70" s="80" t="s">
        <v>224</v>
      </c>
      <c r="I70" s="134" t="s">
        <v>225</v>
      </c>
      <c r="J70" s="79">
        <f>IF(AND($G$65=$AA$66,OR(C70=FALSE,AND(C70=TRUE,Q70=$AC$14))),1,0)</f>
        <v>1</v>
      </c>
      <c r="K70" s="85"/>
      <c r="L70" s="24" t="str">
        <f>IF(OR(K70&gt;J70,AND(K70&gt;0,$G$65="Performance Pathway")),"!","")</f>
        <v/>
      </c>
      <c r="M70" s="32" t="str">
        <f t="shared" si="12"/>
        <v/>
      </c>
      <c r="N70" s="32" t="str">
        <f>IF(Q70=AC14,K70,"")</f>
        <v/>
      </c>
      <c r="O70" s="32"/>
      <c r="P70" s="32"/>
      <c r="Q70" s="193"/>
      <c r="R70" s="33"/>
      <c r="S70" s="290"/>
      <c r="T70" s="255"/>
      <c r="U70" s="256"/>
      <c r="V70" s="256"/>
      <c r="W70" s="290"/>
      <c r="X70" s="255"/>
      <c r="Y70" s="256"/>
      <c r="Z70" s="256"/>
    </row>
    <row r="71" spans="1:27" ht="45" customHeight="1">
      <c r="E71" s="44"/>
      <c r="F71" s="44" t="s">
        <v>27</v>
      </c>
      <c r="G71" s="44"/>
      <c r="H71" s="45"/>
      <c r="I71" s="44"/>
      <c r="J71" s="45">
        <f>IF($G$65=$AA$66,(SUM(J65:J70)+5),10)</f>
        <v>10</v>
      </c>
      <c r="K71" s="45">
        <f>IF(AND(G65=$AA$66,SUM(K65:K70)&gt;5),5,SUM(K65:K70))</f>
        <v>0</v>
      </c>
      <c r="L71" s="24" t="str">
        <f>IF(K71&gt;J71,"!","")</f>
        <v/>
      </c>
      <c r="M71" s="46">
        <f t="shared" ref="M71:N71" si="14">SUM(M65:M70)</f>
        <v>0</v>
      </c>
      <c r="N71" s="46">
        <f t="shared" si="14"/>
        <v>0</v>
      </c>
      <c r="Q71" s="194"/>
      <c r="R71" s="33"/>
      <c r="S71" s="234"/>
      <c r="T71" s="9"/>
      <c r="U71" s="260"/>
      <c r="V71" s="260"/>
      <c r="W71" s="234"/>
      <c r="X71" s="9"/>
      <c r="Y71" s="260"/>
      <c r="Z71" s="260"/>
    </row>
    <row r="72" spans="1:27" ht="45" customHeight="1">
      <c r="L72" s="24"/>
      <c r="Q72" s="194"/>
      <c r="U72" s="258"/>
      <c r="V72" s="258"/>
      <c r="Y72" s="258"/>
      <c r="Z72" s="258"/>
    </row>
    <row r="73" spans="1:27" ht="45" customHeight="1">
      <c r="E73" s="26"/>
      <c r="F73" s="266" t="s">
        <v>226</v>
      </c>
      <c r="G73" s="72"/>
      <c r="H73" s="54"/>
      <c r="I73" s="72"/>
      <c r="J73" s="54">
        <v>18</v>
      </c>
      <c r="K73" s="54"/>
      <c r="L73" s="24"/>
      <c r="M73" s="165"/>
      <c r="N73" s="165"/>
      <c r="O73" s="165"/>
      <c r="P73" s="165"/>
      <c r="Q73" s="182"/>
      <c r="R73" s="33"/>
      <c r="S73" s="233"/>
      <c r="T73" s="243"/>
      <c r="U73" s="233"/>
      <c r="V73" s="233"/>
      <c r="W73" s="233"/>
      <c r="X73" s="243"/>
      <c r="Y73" s="233"/>
      <c r="Z73" s="233"/>
      <c r="AA73" s="9"/>
    </row>
    <row r="74" spans="1:27" ht="45" customHeight="1">
      <c r="E74" s="28"/>
      <c r="F74" s="385" t="s">
        <v>227</v>
      </c>
      <c r="G74" s="381" t="s">
        <v>228</v>
      </c>
      <c r="H74" s="115" t="s">
        <v>229</v>
      </c>
      <c r="I74" s="190" t="s">
        <v>230</v>
      </c>
      <c r="J74" s="86" t="str">
        <f>IF(G74=AA74,6,"0")</f>
        <v>0</v>
      </c>
      <c r="K74" s="305"/>
      <c r="L74" s="24" t="str">
        <f>IF(AND(G74=$AA$74,$K$74=0),"CR","")</f>
        <v/>
      </c>
      <c r="M74" s="32" t="str">
        <f>IF(OR(Q74=$AC$11,Q74=$AC$12,Q74=$AC$13),K74,"")</f>
        <v/>
      </c>
      <c r="N74" s="32" t="str">
        <f>IF(Q74=AC14,K74,"")</f>
        <v/>
      </c>
      <c r="O74" s="32"/>
      <c r="P74" s="32"/>
      <c r="Q74" s="193"/>
      <c r="R74" s="33"/>
      <c r="S74" s="290"/>
      <c r="T74" s="255"/>
      <c r="U74" s="256"/>
      <c r="V74" s="256"/>
      <c r="W74" s="290"/>
      <c r="X74" s="255"/>
      <c r="Y74" s="256"/>
      <c r="Z74" s="256"/>
      <c r="AA74" s="293" t="s">
        <v>231</v>
      </c>
    </row>
    <row r="75" spans="1:27" ht="45" customHeight="1">
      <c r="E75" s="28"/>
      <c r="F75" s="386"/>
      <c r="G75" s="382"/>
      <c r="H75" s="115" t="s">
        <v>232</v>
      </c>
      <c r="I75" s="130" t="s">
        <v>233</v>
      </c>
      <c r="J75" s="86">
        <f>IF(G74=AA75,6,"0")</f>
        <v>6</v>
      </c>
      <c r="K75" s="69"/>
      <c r="L75" s="24" t="str">
        <f>IF(AND(G74=$AA$75,K75=0),"CR","")</f>
        <v>CR</v>
      </c>
      <c r="M75" s="32" t="str">
        <f t="shared" ref="M75:M84" si="15">IF(OR(Q75=$AC$11,Q75=$AC$12,Q75=$AC$13),K75,"")</f>
        <v/>
      </c>
      <c r="N75" s="32" t="str">
        <f>IF(Q75=AC14,K75,"")</f>
        <v/>
      </c>
      <c r="O75" s="32"/>
      <c r="P75" s="32"/>
      <c r="Q75" s="193"/>
      <c r="R75" s="33"/>
      <c r="S75" s="290"/>
      <c r="T75" s="255"/>
      <c r="U75" s="256"/>
      <c r="V75" s="256"/>
      <c r="W75" s="290"/>
      <c r="X75" s="255"/>
      <c r="Y75" s="256"/>
      <c r="Z75" s="256"/>
      <c r="AA75" s="292" t="s">
        <v>228</v>
      </c>
    </row>
    <row r="76" spans="1:27" ht="45" customHeight="1">
      <c r="E76" s="28"/>
      <c r="F76" s="386"/>
      <c r="G76" s="362"/>
      <c r="H76" s="127">
        <v>19.2</v>
      </c>
      <c r="I76" s="38" t="s">
        <v>234</v>
      </c>
      <c r="J76" s="127">
        <v>3</v>
      </c>
      <c r="K76" s="59"/>
      <c r="L76" s="24" t="str">
        <f>IF(AND(K75=0,K74=0,K76&gt;0),"!","")</f>
        <v/>
      </c>
      <c r="M76" s="32" t="str">
        <f t="shared" si="15"/>
        <v/>
      </c>
      <c r="N76" s="32" t="str">
        <f>IF(Q76=AC14,K76,"")</f>
        <v/>
      </c>
      <c r="O76" s="32"/>
      <c r="P76" s="32"/>
      <c r="Q76" s="193"/>
      <c r="R76" s="33"/>
      <c r="S76" s="290"/>
      <c r="T76" s="255"/>
      <c r="U76" s="256"/>
      <c r="V76" s="256"/>
      <c r="W76" s="290"/>
      <c r="X76" s="255"/>
      <c r="Y76" s="256"/>
      <c r="Z76" s="256"/>
    </row>
    <row r="77" spans="1:27" ht="45" customHeight="1">
      <c r="E77" s="28"/>
      <c r="F77" s="387"/>
      <c r="G77" s="388"/>
      <c r="H77" s="127">
        <v>19.3</v>
      </c>
      <c r="I77" s="38" t="s">
        <v>235</v>
      </c>
      <c r="J77" s="127">
        <v>2</v>
      </c>
      <c r="K77" s="59"/>
      <c r="L77" s="24" t="str">
        <f>IF(AND(K74=0,K75=0,K77&gt;0),"!","")</f>
        <v/>
      </c>
      <c r="M77" s="32" t="str">
        <f t="shared" si="15"/>
        <v/>
      </c>
      <c r="N77" s="32" t="str">
        <f>IF(Q77=AC14,K77,"")</f>
        <v/>
      </c>
      <c r="O77" s="32"/>
      <c r="P77" s="32"/>
      <c r="Q77" s="193"/>
      <c r="R77" s="33"/>
      <c r="S77" s="290"/>
      <c r="T77" s="255"/>
      <c r="U77" s="256"/>
      <c r="V77" s="256"/>
      <c r="W77" s="290"/>
      <c r="X77" s="255"/>
      <c r="Y77" s="256"/>
      <c r="Z77" s="256"/>
    </row>
    <row r="78" spans="1:27" ht="45" customHeight="1">
      <c r="A78" s="152">
        <v>1</v>
      </c>
      <c r="B78" s="152">
        <f t="shared" ref="B78:B80" si="16">IF(C78=TRUE,A78,0)</f>
        <v>0</v>
      </c>
      <c r="C78" s="152" t="b">
        <v>0</v>
      </c>
      <c r="E78" s="28"/>
      <c r="F78" s="356" t="s">
        <v>236</v>
      </c>
      <c r="G78" s="362" t="s">
        <v>237</v>
      </c>
      <c r="H78" s="129">
        <v>20.100000000000001</v>
      </c>
      <c r="I78" s="128" t="s">
        <v>238</v>
      </c>
      <c r="J78" s="58">
        <f>IF(OR(C78=FALSE,Q78=$AC$14),A78,0)</f>
        <v>1</v>
      </c>
      <c r="K78" s="59"/>
      <c r="L78" s="24" t="str">
        <f>IF(K78&gt;J78,"!","")</f>
        <v/>
      </c>
      <c r="M78" s="32" t="str">
        <f t="shared" si="15"/>
        <v/>
      </c>
      <c r="N78" s="32" t="str">
        <f>IF(Q78=AC14,K78,"")</f>
        <v/>
      </c>
      <c r="O78" s="32"/>
      <c r="P78" s="32"/>
      <c r="Q78" s="193"/>
      <c r="R78" s="33"/>
      <c r="S78" s="290"/>
      <c r="T78" s="255"/>
      <c r="U78" s="256"/>
      <c r="V78" s="256"/>
      <c r="W78" s="290"/>
      <c r="X78" s="255"/>
      <c r="Y78" s="256"/>
      <c r="Z78" s="256"/>
    </row>
    <row r="79" spans="1:27" ht="45" customHeight="1">
      <c r="A79" s="152">
        <v>1</v>
      </c>
      <c r="B79" s="152">
        <f t="shared" si="16"/>
        <v>0</v>
      </c>
      <c r="C79" s="152" t="b">
        <v>0</v>
      </c>
      <c r="E79" s="28"/>
      <c r="F79" s="357"/>
      <c r="G79" s="388"/>
      <c r="H79" s="129">
        <v>20.2</v>
      </c>
      <c r="I79" s="128" t="s">
        <v>239</v>
      </c>
      <c r="J79" s="58">
        <f>IF(OR(C79=FALSE,Q79=$AC$14),A79,0)</f>
        <v>1</v>
      </c>
      <c r="K79" s="59"/>
      <c r="L79" s="24" t="str">
        <f t="shared" ref="L79:L80" si="17">IF(K79&gt;J79,"!","")</f>
        <v/>
      </c>
      <c r="M79" s="32" t="str">
        <f t="shared" si="15"/>
        <v/>
      </c>
      <c r="N79" s="32" t="str">
        <f>IF(Q79=AC14,K79,"")</f>
        <v/>
      </c>
      <c r="O79" s="32"/>
      <c r="P79" s="32"/>
      <c r="Q79" s="193"/>
      <c r="R79" s="33"/>
      <c r="S79" s="290"/>
      <c r="T79" s="255"/>
      <c r="U79" s="256"/>
      <c r="V79" s="256"/>
      <c r="W79" s="290"/>
      <c r="X79" s="255"/>
      <c r="Y79" s="256"/>
      <c r="Z79" s="256"/>
    </row>
    <row r="80" spans="1:27" ht="45" customHeight="1">
      <c r="A80" s="152">
        <v>1</v>
      </c>
      <c r="B80" s="152">
        <f t="shared" si="16"/>
        <v>0</v>
      </c>
      <c r="C80" s="152" t="b">
        <v>0</v>
      </c>
      <c r="E80" s="28"/>
      <c r="F80" s="358"/>
      <c r="G80" s="389"/>
      <c r="H80" s="129">
        <v>20.3</v>
      </c>
      <c r="I80" s="128" t="s">
        <v>240</v>
      </c>
      <c r="J80" s="58">
        <f>IF(OR(C80=FALSE,Q80=$AC$14),A80,0)</f>
        <v>1</v>
      </c>
      <c r="K80" s="59"/>
      <c r="L80" s="24" t="str">
        <f t="shared" si="17"/>
        <v/>
      </c>
      <c r="M80" s="32" t="str">
        <f t="shared" si="15"/>
        <v/>
      </c>
      <c r="N80" s="32" t="str">
        <f>IF(Q80=AC14,K80,"")</f>
        <v/>
      </c>
      <c r="O80" s="32"/>
      <c r="P80" s="32"/>
      <c r="Q80" s="193"/>
      <c r="R80" s="33"/>
      <c r="S80" s="290"/>
      <c r="T80" s="255"/>
      <c r="U80" s="256"/>
      <c r="V80" s="256"/>
      <c r="W80" s="290"/>
      <c r="X80" s="255"/>
      <c r="Y80" s="256"/>
      <c r="Z80" s="256"/>
    </row>
    <row r="81" spans="1:27" ht="45" customHeight="1">
      <c r="E81" s="28"/>
      <c r="F81" s="184" t="s">
        <v>241</v>
      </c>
      <c r="G81" s="268" t="s">
        <v>242</v>
      </c>
      <c r="H81" s="277">
        <v>21</v>
      </c>
      <c r="I81" s="128" t="s">
        <v>243</v>
      </c>
      <c r="J81" s="86">
        <v>3</v>
      </c>
      <c r="K81" s="59"/>
      <c r="L81" s="24"/>
      <c r="M81" s="32" t="str">
        <f t="shared" si="15"/>
        <v/>
      </c>
      <c r="N81" s="32" t="str">
        <f>IF(Q81=AC14,K81,"")</f>
        <v/>
      </c>
      <c r="O81" s="32"/>
      <c r="P81" s="32"/>
      <c r="Q81" s="193"/>
      <c r="R81" s="33"/>
      <c r="S81" s="290"/>
      <c r="T81" s="255"/>
      <c r="U81" s="256"/>
      <c r="V81" s="256"/>
      <c r="W81" s="290"/>
      <c r="X81" s="255"/>
      <c r="Y81" s="256"/>
      <c r="Z81" s="256"/>
    </row>
    <row r="82" spans="1:27" ht="45" customHeight="1">
      <c r="E82" s="28"/>
      <c r="F82" s="385" t="s">
        <v>244</v>
      </c>
      <c r="G82" s="268"/>
      <c r="H82" s="275">
        <v>22.1</v>
      </c>
      <c r="I82" s="128" t="s">
        <v>245</v>
      </c>
      <c r="J82" s="86" t="s">
        <v>144</v>
      </c>
      <c r="K82" s="30"/>
      <c r="L82" s="24"/>
      <c r="M82" s="32" t="str">
        <f t="shared" si="15"/>
        <v/>
      </c>
      <c r="N82" s="32" t="str">
        <f>IF(Q82=AC14,K82,"")</f>
        <v/>
      </c>
      <c r="O82" s="32"/>
      <c r="P82" s="32"/>
      <c r="Q82" s="193"/>
      <c r="R82" s="33"/>
      <c r="S82" s="290"/>
      <c r="T82" s="255"/>
      <c r="U82" s="256"/>
      <c r="V82" s="256"/>
      <c r="W82" s="290"/>
      <c r="X82" s="255"/>
      <c r="Y82" s="256"/>
      <c r="Z82" s="256"/>
    </row>
    <row r="83" spans="1:27" ht="45" customHeight="1">
      <c r="E83" s="28"/>
      <c r="F83" s="386"/>
      <c r="G83" s="369" t="s">
        <v>246</v>
      </c>
      <c r="H83" s="196" t="s">
        <v>247</v>
      </c>
      <c r="I83" s="128" t="s">
        <v>248</v>
      </c>
      <c r="J83" s="86" t="str">
        <f>IF(G83=AA83,1,"0")</f>
        <v>0</v>
      </c>
      <c r="K83" s="59"/>
      <c r="L83" s="24" t="str">
        <f>IF(AND(K83&gt;0,OR(G83="Percentage Benchmark",K82&lt;&gt;$AD$10)),"!","")</f>
        <v/>
      </c>
      <c r="M83" s="32" t="str">
        <f t="shared" si="15"/>
        <v/>
      </c>
      <c r="N83" s="32" t="str">
        <f>IF(Q83=AC14,K83,"")</f>
        <v/>
      </c>
      <c r="O83" s="32"/>
      <c r="P83" s="32"/>
      <c r="Q83" s="193"/>
      <c r="R83" s="33"/>
      <c r="S83" s="290"/>
      <c r="T83" s="255"/>
      <c r="U83" s="256"/>
      <c r="V83" s="256"/>
      <c r="W83" s="290"/>
      <c r="X83" s="255"/>
      <c r="Y83" s="256"/>
      <c r="Z83" s="256"/>
      <c r="AA83" s="11" t="s">
        <v>248</v>
      </c>
    </row>
    <row r="84" spans="1:27" ht="45" customHeight="1">
      <c r="E84" s="28"/>
      <c r="F84" s="387"/>
      <c r="G84" s="370"/>
      <c r="H84" s="196" t="s">
        <v>249</v>
      </c>
      <c r="I84" s="268" t="s">
        <v>246</v>
      </c>
      <c r="J84" s="86">
        <f>IF(G83=AA84,1,"0")</f>
        <v>1</v>
      </c>
      <c r="K84" s="59"/>
      <c r="L84" s="24" t="str">
        <f>IF(AND(K84&gt;0,OR(G83="Fixed Benchmark",K82&lt;&gt;$AD$10)),"!","")</f>
        <v/>
      </c>
      <c r="M84" s="32" t="str">
        <f t="shared" si="15"/>
        <v/>
      </c>
      <c r="N84" s="32" t="str">
        <f>IF(Q84=AC14,K84,"")</f>
        <v/>
      </c>
      <c r="O84" s="32"/>
      <c r="P84" s="32"/>
      <c r="Q84" s="193"/>
      <c r="R84" s="33"/>
      <c r="S84" s="290"/>
      <c r="T84" s="255"/>
      <c r="U84" s="256"/>
      <c r="V84" s="256"/>
      <c r="W84" s="290"/>
      <c r="X84" s="255"/>
      <c r="Y84" s="256"/>
      <c r="Z84" s="256"/>
      <c r="AA84" s="11" t="s">
        <v>246</v>
      </c>
    </row>
    <row r="85" spans="1:27" ht="45" customHeight="1">
      <c r="E85" s="44"/>
      <c r="F85" s="44" t="s">
        <v>27</v>
      </c>
      <c r="G85" s="44"/>
      <c r="H85" s="45"/>
      <c r="I85" s="44"/>
      <c r="J85" s="45">
        <f>SUM(J74:J84)</f>
        <v>18</v>
      </c>
      <c r="K85" s="45">
        <f>SUM(K74:K84)</f>
        <v>0</v>
      </c>
      <c r="L85" s="24" t="str">
        <f>IF(K85&gt;J85,"!","")</f>
        <v/>
      </c>
      <c r="M85" s="46">
        <f>SUM(M74:M84)</f>
        <v>0</v>
      </c>
      <c r="N85" s="46">
        <f>SUM(N74:N84)</f>
        <v>0</v>
      </c>
      <c r="Q85" s="194"/>
      <c r="R85" s="33"/>
      <c r="S85" s="234"/>
      <c r="T85" s="9"/>
      <c r="U85" s="260"/>
      <c r="V85" s="260"/>
      <c r="W85" s="234"/>
      <c r="X85" s="9"/>
      <c r="Y85" s="260"/>
      <c r="Z85" s="260"/>
    </row>
    <row r="86" spans="1:27" ht="45" customHeight="1">
      <c r="L86" s="24"/>
      <c r="Q86" s="194"/>
      <c r="R86" s="157"/>
      <c r="U86" s="258"/>
      <c r="V86" s="258"/>
      <c r="Y86" s="258"/>
      <c r="Z86" s="258"/>
    </row>
    <row r="87" spans="1:27" ht="45" customHeight="1">
      <c r="E87" s="26"/>
      <c r="F87" s="375" t="s">
        <v>250</v>
      </c>
      <c r="G87" s="375"/>
      <c r="H87" s="375"/>
      <c r="I87" s="375"/>
      <c r="J87" s="54">
        <v>5</v>
      </c>
      <c r="K87" s="54"/>
      <c r="L87" s="24"/>
      <c r="M87" s="378"/>
      <c r="N87" s="378"/>
      <c r="O87" s="267"/>
      <c r="P87" s="267"/>
      <c r="Q87" s="182"/>
      <c r="R87" s="157"/>
      <c r="S87" s="233"/>
      <c r="T87" s="243"/>
      <c r="U87" s="233"/>
      <c r="V87" s="233"/>
      <c r="W87" s="233"/>
      <c r="X87" s="243"/>
      <c r="Y87" s="233"/>
      <c r="Z87" s="233"/>
    </row>
    <row r="88" spans="1:27" ht="45" customHeight="1">
      <c r="E88" s="28"/>
      <c r="F88" s="288" t="s">
        <v>251</v>
      </c>
      <c r="G88" s="289" t="s">
        <v>252</v>
      </c>
      <c r="H88" s="278">
        <v>23</v>
      </c>
      <c r="I88" s="57" t="s">
        <v>251</v>
      </c>
      <c r="J88" s="29">
        <v>3</v>
      </c>
      <c r="K88" s="69"/>
      <c r="L88" s="24"/>
      <c r="M88" s="32" t="str">
        <f>IF(OR(Q88=$AC$11,Q88=$AC$12, Q88=$AC$13),K88,"")</f>
        <v/>
      </c>
      <c r="N88" s="32" t="str">
        <f>IF(Q88=AC14,K88,"")</f>
        <v/>
      </c>
      <c r="O88" s="32"/>
      <c r="P88" s="32"/>
      <c r="Q88" s="193"/>
      <c r="S88" s="290"/>
      <c r="T88" s="255"/>
      <c r="U88" s="256"/>
      <c r="V88" s="256"/>
      <c r="W88" s="290"/>
      <c r="X88" s="255"/>
      <c r="Y88" s="256"/>
      <c r="Z88" s="256"/>
    </row>
    <row r="89" spans="1:27" ht="45" customHeight="1">
      <c r="E89" s="28"/>
      <c r="F89" s="391" t="s">
        <v>253</v>
      </c>
      <c r="G89" s="362" t="s">
        <v>254</v>
      </c>
      <c r="H89" s="37">
        <v>24.1</v>
      </c>
      <c r="I89" s="57" t="s">
        <v>255</v>
      </c>
      <c r="J89" s="196" t="s">
        <v>189</v>
      </c>
      <c r="K89" s="30"/>
      <c r="L89" s="24" t="str">
        <f>IF($K$89=0,"CR","")</f>
        <v>CR</v>
      </c>
      <c r="M89" s="32" t="str">
        <f t="shared" ref="M89:M91" si="18">IF(OR(Q89=$AC$11,Q89=$AC$12, Q89=$AC$13),K89,"")</f>
        <v/>
      </c>
      <c r="N89" s="32" t="str">
        <f>IF(Q89=AC14,K89,"")</f>
        <v/>
      </c>
      <c r="O89" s="32"/>
      <c r="P89" s="32"/>
      <c r="Q89" s="193"/>
      <c r="S89" s="290"/>
      <c r="T89" s="255"/>
      <c r="U89" s="256"/>
      <c r="V89" s="256"/>
      <c r="W89" s="290"/>
      <c r="X89" s="255"/>
      <c r="Y89" s="256"/>
      <c r="Z89" s="256"/>
    </row>
    <row r="90" spans="1:27" ht="45" customHeight="1">
      <c r="E90" s="28"/>
      <c r="F90" s="391"/>
      <c r="G90" s="363"/>
      <c r="H90" s="37">
        <v>24.2</v>
      </c>
      <c r="I90" s="91" t="s">
        <v>256</v>
      </c>
      <c r="J90" s="29">
        <v>1</v>
      </c>
      <c r="K90" s="69"/>
      <c r="L90" s="24" t="str">
        <f>IF(AND(K90&gt;0,$K$89&lt;&gt;$AD$10),"!","")</f>
        <v/>
      </c>
      <c r="M90" s="32" t="str">
        <f t="shared" si="18"/>
        <v/>
      </c>
      <c r="N90" s="32" t="str">
        <f>IF(Q90=AC14,K90,"")</f>
        <v/>
      </c>
      <c r="O90" s="32"/>
      <c r="P90" s="32"/>
      <c r="Q90" s="193"/>
      <c r="S90" s="290"/>
      <c r="T90" s="255"/>
      <c r="U90" s="256"/>
      <c r="V90" s="256"/>
      <c r="W90" s="290"/>
      <c r="X90" s="255"/>
      <c r="Y90" s="256"/>
      <c r="Z90" s="256"/>
    </row>
    <row r="91" spans="1:27" ht="45" customHeight="1">
      <c r="A91" s="152">
        <v>1</v>
      </c>
      <c r="B91" s="152">
        <f>IF(C91=TRUE,A91,0)</f>
        <v>0</v>
      </c>
      <c r="C91" s="152" t="b">
        <v>0</v>
      </c>
      <c r="E91" s="28"/>
      <c r="F91" s="391"/>
      <c r="G91" s="364"/>
      <c r="H91" s="37">
        <v>24.3</v>
      </c>
      <c r="I91" s="91" t="s">
        <v>257</v>
      </c>
      <c r="J91" s="58">
        <f>IF(OR(C91=FALSE,Q91=$AC$14),A91,0)</f>
        <v>1</v>
      </c>
      <c r="K91" s="69"/>
      <c r="L91" s="24" t="str">
        <f>IF(OR(K91&gt;J91,AND(K91&gt;0,$K$89&lt;&gt;$AD$10)),"!","")</f>
        <v/>
      </c>
      <c r="M91" s="32" t="str">
        <f t="shared" si="18"/>
        <v/>
      </c>
      <c r="N91" s="32" t="str">
        <f>IF(Q91=AC14,K91,"")</f>
        <v/>
      </c>
      <c r="O91" s="32"/>
      <c r="P91" s="32"/>
      <c r="Q91" s="193"/>
      <c r="S91" s="290"/>
      <c r="T91" s="255"/>
      <c r="U91" s="256"/>
      <c r="V91" s="256"/>
      <c r="W91" s="290"/>
      <c r="X91" s="255"/>
      <c r="Y91" s="256"/>
      <c r="Z91" s="256"/>
    </row>
    <row r="92" spans="1:27" ht="45" customHeight="1">
      <c r="E92" s="44"/>
      <c r="F92" s="44" t="s">
        <v>27</v>
      </c>
      <c r="G92" s="44"/>
      <c r="H92" s="45"/>
      <c r="I92" s="44"/>
      <c r="J92" s="45">
        <f>SUM(J88:J91)</f>
        <v>5</v>
      </c>
      <c r="K92" s="45">
        <f>SUM(K88:K91)</f>
        <v>0</v>
      </c>
      <c r="L92" s="24" t="str">
        <f>IF(K92&gt;J92,"!","")</f>
        <v/>
      </c>
      <c r="M92" s="46">
        <f>SUM(M88:M91)</f>
        <v>0</v>
      </c>
      <c r="N92" s="46">
        <f>SUM(N88:N91)</f>
        <v>0</v>
      </c>
      <c r="Q92" s="194"/>
      <c r="R92" s="33"/>
      <c r="S92" s="234"/>
      <c r="T92" s="260"/>
      <c r="U92" s="260"/>
      <c r="V92" s="260"/>
      <c r="W92" s="234"/>
      <c r="X92" s="260"/>
      <c r="Y92" s="260"/>
      <c r="Z92" s="260"/>
    </row>
    <row r="93" spans="1:27" ht="45" customHeight="1">
      <c r="L93" s="24"/>
      <c r="Q93" s="194"/>
      <c r="T93" s="260"/>
      <c r="U93" s="258"/>
      <c r="V93" s="258"/>
      <c r="X93" s="260"/>
      <c r="Y93" s="258"/>
      <c r="Z93" s="258"/>
    </row>
    <row r="94" spans="1:27" ht="45" customHeight="1">
      <c r="E94" s="26"/>
      <c r="F94" s="375" t="s">
        <v>258</v>
      </c>
      <c r="G94" s="375"/>
      <c r="H94" s="375"/>
      <c r="I94" s="375"/>
      <c r="J94" s="54">
        <v>5</v>
      </c>
      <c r="K94" s="54"/>
      <c r="L94" s="24"/>
      <c r="M94" s="165"/>
      <c r="N94" s="165"/>
      <c r="O94" s="165"/>
      <c r="P94" s="165"/>
      <c r="Q94" s="182"/>
      <c r="R94" s="33"/>
      <c r="S94" s="233"/>
      <c r="T94" s="243"/>
      <c r="U94" s="233"/>
      <c r="V94" s="233"/>
      <c r="W94" s="233"/>
      <c r="X94" s="243"/>
      <c r="Y94" s="233"/>
      <c r="Z94" s="233"/>
    </row>
    <row r="95" spans="1:27" ht="45" customHeight="1">
      <c r="E95" s="28"/>
      <c r="F95" s="358" t="s">
        <v>259</v>
      </c>
      <c r="G95" s="363" t="s">
        <v>260</v>
      </c>
      <c r="H95" s="88">
        <v>25.1</v>
      </c>
      <c r="I95" s="57" t="s">
        <v>261</v>
      </c>
      <c r="J95" s="35">
        <v>1</v>
      </c>
      <c r="K95" s="90"/>
      <c r="L95" s="24"/>
      <c r="M95" s="32" t="str">
        <f>IF(OR(Q95=$AC$11,Q95=$AC$12,Q95=$AC$13),K95,"")</f>
        <v/>
      </c>
      <c r="N95" s="32" t="str">
        <f>IF(Q95=AC14,K95,"")</f>
        <v/>
      </c>
      <c r="O95" s="32"/>
      <c r="P95" s="32"/>
      <c r="Q95" s="193"/>
      <c r="R95" s="9"/>
      <c r="S95" s="290"/>
      <c r="T95" s="255"/>
      <c r="U95" s="256"/>
      <c r="V95" s="256"/>
      <c r="W95" s="290"/>
      <c r="X95" s="255"/>
      <c r="Y95" s="256"/>
      <c r="Z95" s="256"/>
    </row>
    <row r="96" spans="1:27" ht="45" customHeight="1">
      <c r="E96" s="28"/>
      <c r="F96" s="391"/>
      <c r="G96" s="364"/>
      <c r="H96" s="37">
        <v>25.2</v>
      </c>
      <c r="I96" s="57" t="s">
        <v>262</v>
      </c>
      <c r="J96" s="29">
        <v>1</v>
      </c>
      <c r="K96" s="69"/>
      <c r="L96" s="24"/>
      <c r="M96" s="32" t="str">
        <f t="shared" ref="M96:M100" si="19">IF(OR(Q96=$AC$11,Q96=$AC$12,Q96=$AC$13),K96,"")</f>
        <v/>
      </c>
      <c r="N96" s="32" t="str">
        <f>IF(Q96=AC14,K96,"")</f>
        <v/>
      </c>
      <c r="O96" s="32"/>
      <c r="P96" s="32"/>
      <c r="Q96" s="193"/>
      <c r="R96" s="9"/>
      <c r="S96" s="290"/>
      <c r="T96" s="255"/>
      <c r="U96" s="256"/>
      <c r="V96" s="256"/>
      <c r="W96" s="290"/>
      <c r="X96" s="255"/>
      <c r="Y96" s="256"/>
      <c r="Z96" s="256"/>
    </row>
    <row r="97" spans="1:26" ht="45" customHeight="1">
      <c r="E97" s="28"/>
      <c r="F97" s="391" t="s">
        <v>263</v>
      </c>
      <c r="G97" s="362" t="s">
        <v>264</v>
      </c>
      <c r="H97" s="37">
        <v>26.1</v>
      </c>
      <c r="I97" s="91" t="s">
        <v>265</v>
      </c>
      <c r="J97" s="196" t="s">
        <v>144</v>
      </c>
      <c r="K97" s="30"/>
      <c r="L97" s="24"/>
      <c r="M97" s="32" t="str">
        <f t="shared" si="19"/>
        <v/>
      </c>
      <c r="N97" s="32" t="str">
        <f>IF(Q97=AC14,K97,"")</f>
        <v/>
      </c>
      <c r="O97" s="32"/>
      <c r="P97" s="32"/>
      <c r="Q97" s="193"/>
      <c r="R97" s="9"/>
      <c r="S97" s="290"/>
      <c r="T97" s="255"/>
      <c r="U97" s="256"/>
      <c r="V97" s="256"/>
      <c r="W97" s="290"/>
      <c r="X97" s="255"/>
      <c r="Y97" s="256"/>
      <c r="Z97" s="256"/>
    </row>
    <row r="98" spans="1:26" ht="45" customHeight="1">
      <c r="E98" s="28"/>
      <c r="F98" s="391"/>
      <c r="G98" s="364"/>
      <c r="H98" s="39">
        <v>26.2</v>
      </c>
      <c r="I98" s="91" t="s">
        <v>266</v>
      </c>
      <c r="J98" s="29">
        <v>1</v>
      </c>
      <c r="K98" s="69"/>
      <c r="L98" s="24" t="str">
        <f>IF(AND(K98&gt;0,$K97&lt;&gt;$AD$10),"!","")</f>
        <v/>
      </c>
      <c r="M98" s="32" t="str">
        <f t="shared" si="19"/>
        <v/>
      </c>
      <c r="N98" s="32" t="str">
        <f>IF(Q98=AC14,K98,"")</f>
        <v/>
      </c>
      <c r="O98" s="32"/>
      <c r="P98" s="32"/>
      <c r="Q98" s="193"/>
      <c r="R98" s="9"/>
      <c r="S98" s="290"/>
      <c r="T98" s="255"/>
      <c r="U98" s="256"/>
      <c r="V98" s="256"/>
      <c r="W98" s="290"/>
      <c r="X98" s="255"/>
      <c r="Y98" s="256"/>
      <c r="Z98" s="256"/>
    </row>
    <row r="99" spans="1:26" ht="45" customHeight="1">
      <c r="E99" s="28"/>
      <c r="F99" s="184" t="s">
        <v>267</v>
      </c>
      <c r="G99" s="268" t="s">
        <v>268</v>
      </c>
      <c r="H99" s="278">
        <v>27</v>
      </c>
      <c r="I99" s="60" t="s">
        <v>269</v>
      </c>
      <c r="J99" s="29">
        <v>1</v>
      </c>
      <c r="K99" s="69"/>
      <c r="L99" s="24"/>
      <c r="M99" s="32" t="str">
        <f t="shared" si="19"/>
        <v/>
      </c>
      <c r="N99" s="32" t="str">
        <f>IF(Q99=AC14,K99,"")</f>
        <v/>
      </c>
      <c r="O99" s="32"/>
      <c r="P99" s="32"/>
      <c r="Q99" s="193"/>
      <c r="R99" s="9"/>
      <c r="S99" s="290"/>
      <c r="T99" s="255"/>
      <c r="U99" s="256"/>
      <c r="V99" s="256"/>
      <c r="W99" s="290"/>
      <c r="X99" s="255"/>
      <c r="Y99" s="256"/>
      <c r="Z99" s="256"/>
    </row>
    <row r="100" spans="1:26" ht="45" customHeight="1">
      <c r="A100" s="152">
        <v>1</v>
      </c>
      <c r="B100" s="152">
        <f>IF(C100=TRUE,A100,0)</f>
        <v>0</v>
      </c>
      <c r="C100" s="152" t="b">
        <v>0</v>
      </c>
      <c r="E100" s="28"/>
      <c r="F100" s="95" t="s">
        <v>270</v>
      </c>
      <c r="G100" s="269" t="s">
        <v>271</v>
      </c>
      <c r="H100" s="279">
        <v>28</v>
      </c>
      <c r="I100" s="60" t="s">
        <v>272</v>
      </c>
      <c r="J100" s="58">
        <f>IF(OR(C100=FALSE,Q100=$AC$14),A100,0)</f>
        <v>1</v>
      </c>
      <c r="K100" s="94"/>
      <c r="L100" s="24" t="str">
        <f t="shared" ref="L100" si="20">IF(K100&gt;J100,"!","")</f>
        <v/>
      </c>
      <c r="M100" s="32" t="str">
        <f t="shared" si="19"/>
        <v/>
      </c>
      <c r="N100" s="32" t="str">
        <f>IF(Q100=AC14,K100,"")</f>
        <v/>
      </c>
      <c r="O100" s="32"/>
      <c r="P100" s="32"/>
      <c r="Q100" s="193"/>
      <c r="R100" s="9"/>
      <c r="S100" s="290"/>
      <c r="T100" s="255"/>
      <c r="U100" s="256"/>
      <c r="V100" s="256"/>
      <c r="W100" s="290"/>
      <c r="X100" s="255"/>
      <c r="Y100" s="256"/>
      <c r="Z100" s="256"/>
    </row>
    <row r="101" spans="1:26" ht="45" customHeight="1">
      <c r="E101" s="44"/>
      <c r="F101" s="44" t="s">
        <v>27</v>
      </c>
      <c r="G101" s="44"/>
      <c r="H101" s="45"/>
      <c r="I101" s="44"/>
      <c r="J101" s="45">
        <f>SUM(J95:J100)</f>
        <v>5</v>
      </c>
      <c r="K101" s="45">
        <f>SUM(K95:K100)</f>
        <v>0</v>
      </c>
      <c r="L101" s="24" t="str">
        <f>IF(K101&gt;J101,"!","")</f>
        <v/>
      </c>
      <c r="M101" s="46">
        <f>SUM(M95:M100)</f>
        <v>0</v>
      </c>
      <c r="N101" s="46">
        <f t="shared" ref="N101" si="21">SUM(N95:N100)</f>
        <v>0</v>
      </c>
      <c r="O101" s="6"/>
      <c r="P101" s="6"/>
      <c r="Q101" s="195"/>
      <c r="R101" s="9"/>
      <c r="S101" s="236"/>
      <c r="T101" s="9"/>
      <c r="U101" s="262"/>
      <c r="V101" s="262"/>
      <c r="W101" s="236"/>
      <c r="X101" s="9"/>
      <c r="Y101" s="262"/>
      <c r="Z101" s="262"/>
    </row>
    <row r="102" spans="1:26" ht="45" customHeight="1">
      <c r="F102" s="62"/>
      <c r="G102" s="62"/>
      <c r="H102" s="6"/>
      <c r="I102" s="62"/>
      <c r="J102" s="6"/>
      <c r="K102" s="6"/>
      <c r="L102" s="24"/>
      <c r="M102" s="6"/>
      <c r="N102" s="6"/>
      <c r="O102" s="6"/>
      <c r="P102" s="6"/>
      <c r="Q102" s="195"/>
      <c r="R102" s="9"/>
      <c r="S102" s="236"/>
      <c r="T102" s="9"/>
      <c r="U102" s="262"/>
      <c r="V102" s="262"/>
      <c r="W102" s="236"/>
      <c r="X102" s="9"/>
      <c r="Y102" s="262"/>
      <c r="Z102" s="262"/>
    </row>
    <row r="103" spans="1:26" ht="45" customHeight="1">
      <c r="E103" s="26"/>
      <c r="F103" s="375" t="s">
        <v>273</v>
      </c>
      <c r="G103" s="375"/>
      <c r="H103" s="375"/>
      <c r="I103" s="375"/>
      <c r="J103" s="54">
        <v>10</v>
      </c>
      <c r="K103" s="96"/>
      <c r="L103" s="24"/>
      <c r="M103" s="97"/>
      <c r="N103" s="97"/>
      <c r="O103" s="97"/>
      <c r="P103" s="97"/>
      <c r="Q103" s="183"/>
      <c r="R103" s="65"/>
      <c r="S103" s="237"/>
      <c r="T103" s="243"/>
      <c r="U103" s="237"/>
      <c r="V103" s="237"/>
      <c r="W103" s="237"/>
      <c r="X103" s="243"/>
      <c r="Y103" s="237"/>
      <c r="Z103" s="237"/>
    </row>
    <row r="104" spans="1:26" ht="57.6" customHeight="1">
      <c r="E104" s="28"/>
      <c r="F104" s="185" t="s">
        <v>274</v>
      </c>
      <c r="G104" s="98" t="s">
        <v>275</v>
      </c>
      <c r="H104" s="35">
        <v>29.1</v>
      </c>
      <c r="I104" s="188" t="s">
        <v>274</v>
      </c>
      <c r="J104" s="390">
        <v>10</v>
      </c>
      <c r="K104" s="90"/>
      <c r="L104" s="24"/>
      <c r="M104" s="32" t="str">
        <f t="shared" ref="M104:M107" si="22">IF(OR(Q104=$AC$11, Q104=$AC$12,Q104=$AC$13),K104,"")</f>
        <v/>
      </c>
      <c r="N104" s="32" t="str">
        <f>IF(Q104=AC14,K104,"")</f>
        <v/>
      </c>
      <c r="O104" s="32"/>
      <c r="P104" s="32"/>
      <c r="Q104" s="193"/>
      <c r="R104" s="65"/>
      <c r="S104" s="290"/>
      <c r="T104" s="255"/>
      <c r="U104" s="256"/>
      <c r="V104" s="256"/>
      <c r="W104" s="290"/>
      <c r="X104" s="255"/>
      <c r="Y104" s="256"/>
      <c r="Z104" s="256"/>
    </row>
    <row r="105" spans="1:26" ht="69">
      <c r="E105" s="28"/>
      <c r="F105" s="184" t="s">
        <v>276</v>
      </c>
      <c r="G105" s="43" t="s">
        <v>277</v>
      </c>
      <c r="H105" s="29">
        <v>29.2</v>
      </c>
      <c r="I105" s="38" t="s">
        <v>276</v>
      </c>
      <c r="J105" s="390"/>
      <c r="K105" s="90"/>
      <c r="L105" s="24"/>
      <c r="M105" s="32" t="str">
        <f t="shared" si="22"/>
        <v/>
      </c>
      <c r="N105" s="32" t="str">
        <f>IF(Q105=AC14,K105,"")</f>
        <v/>
      </c>
      <c r="O105" s="32"/>
      <c r="P105" s="32"/>
      <c r="Q105" s="193"/>
      <c r="R105" s="65"/>
      <c r="S105" s="290"/>
      <c r="T105" s="255"/>
      <c r="U105" s="256"/>
      <c r="V105" s="256"/>
      <c r="W105" s="290"/>
      <c r="X105" s="255"/>
      <c r="Y105" s="256"/>
      <c r="Z105" s="256"/>
    </row>
    <row r="106" spans="1:26" ht="96.6">
      <c r="E106" s="28"/>
      <c r="F106" s="184" t="s">
        <v>278</v>
      </c>
      <c r="G106" s="43" t="s">
        <v>279</v>
      </c>
      <c r="H106" s="29">
        <v>29.3</v>
      </c>
      <c r="I106" s="38" t="s">
        <v>278</v>
      </c>
      <c r="J106" s="390"/>
      <c r="K106" s="90"/>
      <c r="L106" s="24"/>
      <c r="M106" s="32" t="str">
        <f t="shared" si="22"/>
        <v/>
      </c>
      <c r="N106" s="32" t="str">
        <f>IF(Q106=AC14,K106,"")</f>
        <v/>
      </c>
      <c r="O106" s="32"/>
      <c r="P106" s="32"/>
      <c r="Q106" s="193"/>
      <c r="R106" s="65"/>
      <c r="S106" s="290"/>
      <c r="T106" s="255"/>
      <c r="U106" s="256"/>
      <c r="V106" s="256"/>
      <c r="W106" s="290"/>
      <c r="X106" s="255"/>
      <c r="Y106" s="256"/>
      <c r="Z106" s="256"/>
    </row>
    <row r="107" spans="1:26" ht="96.6">
      <c r="E107" s="28"/>
      <c r="F107" s="184" t="s">
        <v>280</v>
      </c>
      <c r="G107" s="43" t="s">
        <v>281</v>
      </c>
      <c r="H107" s="29">
        <v>29.4</v>
      </c>
      <c r="I107" s="38" t="s">
        <v>280</v>
      </c>
      <c r="J107" s="390"/>
      <c r="K107" s="90"/>
      <c r="L107" s="24"/>
      <c r="M107" s="32" t="str">
        <f t="shared" si="22"/>
        <v/>
      </c>
      <c r="N107" s="32" t="str">
        <f>IF(Q107=AC14,K107,"")</f>
        <v/>
      </c>
      <c r="O107" s="32"/>
      <c r="P107" s="32"/>
      <c r="Q107" s="193"/>
      <c r="R107" s="65"/>
      <c r="S107" s="290"/>
      <c r="T107" s="255"/>
      <c r="U107" s="256"/>
      <c r="V107" s="256"/>
      <c r="W107" s="290"/>
      <c r="X107" s="255"/>
      <c r="Y107" s="256"/>
      <c r="Z107" s="256"/>
    </row>
    <row r="108" spans="1:26" ht="55.15">
      <c r="E108" s="28"/>
      <c r="F108" s="186" t="s">
        <v>282</v>
      </c>
      <c r="G108" s="99" t="s">
        <v>283</v>
      </c>
      <c r="H108" s="61">
        <v>29.5</v>
      </c>
      <c r="I108" s="187" t="s">
        <v>282</v>
      </c>
      <c r="J108" s="390"/>
      <c r="K108" s="90"/>
      <c r="L108" s="24"/>
      <c r="M108" s="32" t="str">
        <f>IF(OR(Q108=$AC$11, Q108=$AC$12,Q108=$AC$13),K108,"")</f>
        <v/>
      </c>
      <c r="N108" s="32" t="str">
        <f>IF(Q108=AC14,K108,"")</f>
        <v/>
      </c>
      <c r="O108" s="32"/>
      <c r="P108" s="32"/>
      <c r="Q108" s="193"/>
      <c r="R108" s="65"/>
      <c r="S108" s="290"/>
      <c r="T108" s="255"/>
      <c r="U108" s="256"/>
      <c r="V108" s="256"/>
      <c r="W108" s="290"/>
      <c r="X108" s="255"/>
      <c r="Y108" s="256"/>
      <c r="Z108" s="256"/>
    </row>
    <row r="109" spans="1:26" ht="45" customHeight="1">
      <c r="E109" s="44"/>
      <c r="F109" s="44" t="s">
        <v>27</v>
      </c>
      <c r="G109" s="44"/>
      <c r="H109" s="45"/>
      <c r="I109" s="44"/>
      <c r="J109" s="45">
        <f>SUM(J104)</f>
        <v>10</v>
      </c>
      <c r="K109" s="45">
        <f>IF(SUM(K104:K108)&gt;10,10,SUM(K104:K108))</f>
        <v>0</v>
      </c>
      <c r="L109" s="24" t="str">
        <f>IF(K109&gt;J109,"!","")</f>
        <v/>
      </c>
      <c r="M109" s="46">
        <f t="shared" ref="M109:N109" si="23">SUM(M104:M108)</f>
        <v>0</v>
      </c>
      <c r="N109" s="46">
        <f t="shared" si="23"/>
        <v>0</v>
      </c>
      <c r="T109" s="228"/>
      <c r="U109" s="228"/>
      <c r="V109" s="228"/>
      <c r="X109" s="228"/>
      <c r="Y109" s="228"/>
      <c r="Z109" s="228"/>
    </row>
    <row r="110" spans="1:26" ht="45" customHeight="1">
      <c r="F110" s="62"/>
      <c r="G110" s="62"/>
      <c r="H110" s="6"/>
      <c r="I110" s="62"/>
      <c r="J110" s="6"/>
      <c r="K110" s="6"/>
      <c r="L110" s="24"/>
      <c r="M110" s="6"/>
      <c r="N110" s="6"/>
      <c r="O110" s="6"/>
      <c r="P110" s="6"/>
      <c r="U110" s="228"/>
      <c r="V110" s="228"/>
      <c r="Y110" s="228"/>
      <c r="Z110" s="228"/>
    </row>
    <row r="111" spans="1:26" ht="45" customHeight="1">
      <c r="B111" s="155" t="s">
        <v>284</v>
      </c>
      <c r="F111" s="120"/>
      <c r="G111" s="120"/>
      <c r="H111" s="47"/>
      <c r="I111" s="117" t="s">
        <v>285</v>
      </c>
      <c r="J111" s="14" t="s">
        <v>286</v>
      </c>
      <c r="K111" s="14" t="s">
        <v>287</v>
      </c>
      <c r="L111" s="24"/>
      <c r="M111" s="14" t="s">
        <v>288</v>
      </c>
      <c r="N111" s="14" t="s">
        <v>289</v>
      </c>
      <c r="S111" s="238"/>
      <c r="T111" s="65"/>
      <c r="U111" s="238"/>
      <c r="V111" s="238"/>
      <c r="W111" s="238"/>
      <c r="X111" s="65"/>
      <c r="Y111" s="238"/>
      <c r="Z111" s="238"/>
    </row>
    <row r="112" spans="1:26" ht="45" customHeight="1">
      <c r="B112" s="152">
        <f>SUM(B9:B100)</f>
        <v>0</v>
      </c>
      <c r="F112" s="22"/>
      <c r="G112" s="22"/>
      <c r="H112" s="6"/>
      <c r="I112" s="23" t="s">
        <v>290</v>
      </c>
      <c r="J112" s="123">
        <f>SUM(J26+J46+J53+J62+J71+J85+J92+J101)</f>
        <v>100</v>
      </c>
      <c r="K112" s="124">
        <f>K26+K46+K53+K62+K71+K85+K92+K101</f>
        <v>0</v>
      </c>
      <c r="L112" s="24"/>
      <c r="M112" s="124">
        <f>(M26+M46+M53+M62+M71+M85+M92+M101)/$J$112*100+M109</f>
        <v>0</v>
      </c>
      <c r="N112" s="124">
        <f>(N26+N46+N53+N62+N71+N85+N92+N101)/$J$112*100+N109</f>
        <v>0</v>
      </c>
      <c r="S112" s="239"/>
      <c r="T112" s="9"/>
      <c r="U112" s="239"/>
      <c r="V112" s="239"/>
      <c r="W112" s="239"/>
      <c r="X112" s="9"/>
      <c r="Y112" s="239"/>
      <c r="Z112" s="239"/>
    </row>
    <row r="113" spans="4:26" ht="45" customHeight="1">
      <c r="F113" s="22"/>
      <c r="G113" s="22"/>
      <c r="H113" s="133"/>
      <c r="I113" s="23" t="s">
        <v>291</v>
      </c>
      <c r="J113" s="121"/>
      <c r="K113" s="136">
        <f>K112/J112*100</f>
        <v>0</v>
      </c>
      <c r="L113" s="24"/>
      <c r="M113" s="132"/>
      <c r="N113" s="132"/>
      <c r="S113" s="239"/>
      <c r="T113" s="9"/>
      <c r="U113" s="239"/>
      <c r="V113" s="239"/>
      <c r="W113" s="239"/>
      <c r="X113" s="9"/>
      <c r="Y113" s="239"/>
      <c r="Z113" s="239"/>
    </row>
    <row r="114" spans="4:26" ht="45" customHeight="1">
      <c r="F114" s="22"/>
      <c r="G114" s="22"/>
      <c r="H114" s="6"/>
      <c r="I114" s="23" t="s">
        <v>292</v>
      </c>
      <c r="J114" s="123">
        <v>10</v>
      </c>
      <c r="K114" s="124">
        <f>K109</f>
        <v>0</v>
      </c>
      <c r="L114" s="24"/>
      <c r="M114" s="132"/>
      <c r="N114" s="132"/>
      <c r="S114" s="239"/>
      <c r="T114" s="9"/>
      <c r="U114" s="239"/>
      <c r="V114" s="239"/>
      <c r="W114" s="239"/>
      <c r="X114" s="9"/>
      <c r="Y114" s="239"/>
      <c r="Z114" s="239"/>
    </row>
    <row r="115" spans="4:26" ht="45" customHeight="1">
      <c r="I115" s="23" t="s">
        <v>293</v>
      </c>
      <c r="J115" s="122"/>
      <c r="K115" s="136">
        <f>K113+K114</f>
        <v>0</v>
      </c>
      <c r="L115" s="24"/>
      <c r="M115" s="132"/>
      <c r="N115" s="132"/>
      <c r="U115" s="228"/>
      <c r="V115" s="228"/>
      <c r="Y115" s="228"/>
      <c r="Z115" s="228"/>
    </row>
    <row r="116" spans="4:26">
      <c r="L116" s="24"/>
      <c r="U116" s="228"/>
      <c r="V116" s="228"/>
      <c r="Y116" s="228"/>
      <c r="Z116" s="228"/>
    </row>
    <row r="117" spans="4:26">
      <c r="L117" s="24"/>
      <c r="U117" s="228"/>
      <c r="V117" s="228"/>
      <c r="Y117" s="228"/>
      <c r="Z117" s="228"/>
    </row>
    <row r="118" spans="4:26">
      <c r="L118" s="24"/>
      <c r="U118" s="228"/>
      <c r="V118" s="228"/>
      <c r="Y118" s="228"/>
      <c r="Z118" s="228"/>
    </row>
    <row r="119" spans="4:26">
      <c r="U119" s="228"/>
      <c r="V119" s="228"/>
      <c r="Y119" s="228"/>
      <c r="Z119" s="228"/>
    </row>
    <row r="120" spans="4:26" ht="38.25" hidden="1" customHeight="1">
      <c r="D120" s="8" t="s">
        <v>14</v>
      </c>
      <c r="O120" s="163" t="s">
        <v>294</v>
      </c>
      <c r="P120" s="216" t="s">
        <v>295</v>
      </c>
      <c r="Q120" s="166" t="s">
        <v>296</v>
      </c>
      <c r="R120" s="216" t="s">
        <v>297</v>
      </c>
      <c r="U120" s="228"/>
      <c r="V120" s="228"/>
      <c r="Y120" s="228"/>
      <c r="Z120" s="228"/>
    </row>
    <row r="121" spans="4:26" ht="38.25" hidden="1" customHeight="1">
      <c r="D121" s="8" t="s">
        <v>14</v>
      </c>
      <c r="N121" s="221" t="s">
        <v>120</v>
      </c>
      <c r="O121" s="222"/>
      <c r="P121" s="217">
        <f>COUNTIF(P9:P100,"Core")</f>
        <v>0</v>
      </c>
      <c r="Q121" s="218">
        <f>COUNTIF(Q9:Q100,"Not Awarded - Major Non-compliance")</f>
        <v>0</v>
      </c>
      <c r="R121" s="223"/>
      <c r="U121" s="228"/>
      <c r="V121" s="228"/>
      <c r="Y121" s="228"/>
      <c r="Z121" s="228"/>
    </row>
    <row r="122" spans="4:26" ht="38.25" hidden="1" customHeight="1">
      <c r="D122" s="8" t="s">
        <v>14</v>
      </c>
      <c r="N122" s="221" t="s">
        <v>298</v>
      </c>
      <c r="O122" s="217">
        <f>COUNTIF(O9:O100,"Stage 1")</f>
        <v>0</v>
      </c>
      <c r="P122" s="217">
        <f>COUNTIF(P9:P100,"Stage 1")</f>
        <v>0</v>
      </c>
      <c r="Q122" s="218">
        <f>COUNTIF(Q9:Q100,"Not Awarded - Major Non-compliance")</f>
        <v>0</v>
      </c>
      <c r="R122" s="219" t="str">
        <f>IF(Q122&gt;P122*0.5, "Go to Stage 2", "Assessment Complete")</f>
        <v>Assessment Complete</v>
      </c>
      <c r="U122" s="228"/>
      <c r="V122" s="228"/>
      <c r="Y122" s="228"/>
      <c r="Z122" s="228"/>
    </row>
    <row r="123" spans="4:26" ht="38.25" hidden="1" customHeight="1">
      <c r="D123" s="8" t="s">
        <v>14</v>
      </c>
      <c r="N123" s="221" t="s">
        <v>129</v>
      </c>
      <c r="O123" s="217">
        <f>COUNTIF(O9:O100,"Stage 2")</f>
        <v>0</v>
      </c>
      <c r="P123" s="217">
        <f>COUNTIF(P9:P100,"Stage 2")</f>
        <v>0</v>
      </c>
      <c r="Q123" s="218">
        <f>COUNTIF(Q9:Q100,"Not Awarded - Major Non-compliance")</f>
        <v>0</v>
      </c>
      <c r="R123" s="219" t="str">
        <f>IF(AND(R122="Go to Stage 2", P123=0),R122,IF(Q123&gt;SUM(P122:P123)*0.5,"Go to Stage 3","Assessment Complete"))</f>
        <v>Assessment Complete</v>
      </c>
      <c r="U123" s="228"/>
      <c r="V123" s="228"/>
      <c r="Y123" s="228"/>
      <c r="Z123" s="228"/>
    </row>
    <row r="124" spans="4:26" ht="38.25" hidden="1" customHeight="1">
      <c r="D124" s="8" t="s">
        <v>14</v>
      </c>
      <c r="N124" s="227" t="s">
        <v>299</v>
      </c>
      <c r="O124" s="217">
        <f>COUNTIF(O9:O100,"Stage 3")</f>
        <v>0</v>
      </c>
      <c r="P124" s="217">
        <f>COUNTIF(P9:P100,"Stage 3")</f>
        <v>0</v>
      </c>
      <c r="Q124" s="218">
        <f>COUNTIF(Q9:Q100,"Not Awarded - Major Non-compliance")</f>
        <v>0</v>
      </c>
      <c r="R124" s="224"/>
      <c r="U124" s="228"/>
      <c r="V124" s="228"/>
      <c r="Y124" s="228"/>
      <c r="Z124" s="228"/>
    </row>
    <row r="125" spans="4:26" ht="38.25" hidden="1" customHeight="1">
      <c r="D125" s="8" t="s">
        <v>14</v>
      </c>
      <c r="O125" s="225"/>
      <c r="P125" s="226"/>
      <c r="Q125" s="220">
        <f>COUNTIF(Q9:Q100,"Awarded - Compliant")+COUNTIF(Q9:Q100,"Awarded - Minor non-Compliance")+COUNTIF(Q9:Q100,"Not Awarded - Major non-compliance")</f>
        <v>0</v>
      </c>
      <c r="R125" s="219" t="str">
        <f>IF(R122="Assessment Complete",R122,IF(R123="Assessment Complete",R123,IF(P121&gt;=1,R123,"Assessment Complete")))</f>
        <v>Assessment Complete</v>
      </c>
      <c r="U125" s="228"/>
      <c r="V125" s="228"/>
      <c r="Y125" s="228"/>
      <c r="Z125" s="228"/>
    </row>
    <row r="126" spans="4:26">
      <c r="O126" s="162"/>
      <c r="P126" s="162"/>
      <c r="Q126" s="180"/>
      <c r="R126" s="52"/>
      <c r="U126" s="228"/>
      <c r="V126" s="228"/>
      <c r="Y126" s="228"/>
      <c r="Z126" s="228"/>
    </row>
    <row r="127" spans="4:26">
      <c r="U127" s="228"/>
      <c r="V127" s="228"/>
      <c r="Y127" s="228"/>
      <c r="Z127" s="228"/>
    </row>
    <row r="128" spans="4:26">
      <c r="U128" s="228"/>
      <c r="V128" s="228"/>
      <c r="Y128" s="228"/>
      <c r="Z128" s="228"/>
    </row>
    <row r="129" spans="21:26">
      <c r="U129" s="228"/>
      <c r="V129" s="228"/>
      <c r="Y129" s="228"/>
      <c r="Z129" s="228"/>
    </row>
    <row r="130" spans="21:26">
      <c r="U130" s="228"/>
      <c r="V130" s="228"/>
      <c r="Y130" s="228"/>
      <c r="Z130" s="228"/>
    </row>
    <row r="131" spans="21:26">
      <c r="U131" s="228"/>
      <c r="V131" s="228"/>
      <c r="Y131" s="228"/>
      <c r="Z131" s="228"/>
    </row>
  </sheetData>
  <sheetProtection algorithmName="SHA-512" hashValue="fmgloEP0mkDp461IG8v+gVHl/5gM3P66IEATkx5dI3L9zwzQVareH/pualz8IuyLApoovSAcCQtWmPDFs5WWSg==" saltValue="zCC43DFGJUA+YvJ/XXPpFA==" spinCount="100000" sheet="1" objects="1" scenarios="1"/>
  <mergeCells count="71">
    <mergeCell ref="F103:I103"/>
    <mergeCell ref="J104:J108"/>
    <mergeCell ref="F89:F91"/>
    <mergeCell ref="G89:G91"/>
    <mergeCell ref="F94:I94"/>
    <mergeCell ref="F95:F96"/>
    <mergeCell ref="G95:G96"/>
    <mergeCell ref="F97:F98"/>
    <mergeCell ref="G97:G98"/>
    <mergeCell ref="M87:N87"/>
    <mergeCell ref="F56:F61"/>
    <mergeCell ref="G56:G61"/>
    <mergeCell ref="F65:F70"/>
    <mergeCell ref="G65:G70"/>
    <mergeCell ref="F74:F77"/>
    <mergeCell ref="G74:G75"/>
    <mergeCell ref="G76:G77"/>
    <mergeCell ref="F78:F80"/>
    <mergeCell ref="G78:G80"/>
    <mergeCell ref="F82:F84"/>
    <mergeCell ref="G83:G84"/>
    <mergeCell ref="F87:I87"/>
    <mergeCell ref="G29:G31"/>
    <mergeCell ref="F51:F52"/>
    <mergeCell ref="G51:G52"/>
    <mergeCell ref="F35:F38"/>
    <mergeCell ref="G35:G38"/>
    <mergeCell ref="F39:F41"/>
    <mergeCell ref="G39:G41"/>
    <mergeCell ref="F42:F43"/>
    <mergeCell ref="G42:G43"/>
    <mergeCell ref="F44:F45"/>
    <mergeCell ref="G44:G45"/>
    <mergeCell ref="F48:I48"/>
    <mergeCell ref="F49:F50"/>
    <mergeCell ref="G49:G50"/>
    <mergeCell ref="F10:F12"/>
    <mergeCell ref="G10:G12"/>
    <mergeCell ref="F13:F15"/>
    <mergeCell ref="G13:G15"/>
    <mergeCell ref="F32:F34"/>
    <mergeCell ref="G32:G34"/>
    <mergeCell ref="F17:F18"/>
    <mergeCell ref="G17:G18"/>
    <mergeCell ref="F19:F20"/>
    <mergeCell ref="G19:G20"/>
    <mergeCell ref="F21:F23"/>
    <mergeCell ref="G21:G23"/>
    <mergeCell ref="F24:F25"/>
    <mergeCell ref="G24:G25"/>
    <mergeCell ref="F28:I28"/>
    <mergeCell ref="F29:F31"/>
    <mergeCell ref="G4:H4"/>
    <mergeCell ref="T4:V4"/>
    <mergeCell ref="X4:Z4"/>
    <mergeCell ref="T6:V6"/>
    <mergeCell ref="F5:G5"/>
    <mergeCell ref="X5:Z5"/>
    <mergeCell ref="F1:I1"/>
    <mergeCell ref="S1:V1"/>
    <mergeCell ref="W1:Z1"/>
    <mergeCell ref="F2:F3"/>
    <mergeCell ref="G2:H3"/>
    <mergeCell ref="J2:J3"/>
    <mergeCell ref="K2:K3"/>
    <mergeCell ref="M2:M3"/>
    <mergeCell ref="N2:N3"/>
    <mergeCell ref="T2:V2"/>
    <mergeCell ref="X2:Z2"/>
    <mergeCell ref="T3:V3"/>
    <mergeCell ref="X3:Z3"/>
  </mergeCells>
  <conditionalFormatting sqref="E9:E10">
    <cfRule type="expression" dxfId="241" priority="58">
      <formula>$C9=TRUE</formula>
    </cfRule>
  </conditionalFormatting>
  <conditionalFormatting sqref="E29:E45">
    <cfRule type="expression" dxfId="240" priority="69">
      <formula>$C29=TRUE</formula>
    </cfRule>
  </conditionalFormatting>
  <conditionalFormatting sqref="E49:E52 E74:E84 E88:E91">
    <cfRule type="expression" dxfId="239" priority="80">
      <formula>$C49=TRUE</formula>
    </cfRule>
  </conditionalFormatting>
  <conditionalFormatting sqref="E65:E70">
    <cfRule type="expression" dxfId="238" priority="67">
      <formula>$C65=TRUE</formula>
    </cfRule>
  </conditionalFormatting>
  <conditionalFormatting sqref="E95:E100">
    <cfRule type="expression" dxfId="237" priority="61">
      <formula>$C95=TRUE</formula>
    </cfRule>
  </conditionalFormatting>
  <conditionalFormatting sqref="E104:E108">
    <cfRule type="expression" dxfId="236" priority="65">
      <formula>$C104=TRUE</formula>
    </cfRule>
  </conditionalFormatting>
  <conditionalFormatting sqref="E7:W115">
    <cfRule type="expression" dxfId="235" priority="1">
      <formula>$H$5&lt;&gt;"No"</formula>
    </cfRule>
  </conditionalFormatting>
  <conditionalFormatting sqref="G53">
    <cfRule type="expression" dxfId="234" priority="82">
      <formula>$J$52=0</formula>
    </cfRule>
  </conditionalFormatting>
  <conditionalFormatting sqref="H56:I57">
    <cfRule type="expression" dxfId="233" priority="62">
      <formula>#REF!&lt;&gt;#REF!</formula>
    </cfRule>
  </conditionalFormatting>
  <conditionalFormatting sqref="H78:I78 K78">
    <cfRule type="expression" dxfId="232" priority="73">
      <formula>$C$78=TRUE</formula>
    </cfRule>
  </conditionalFormatting>
  <conditionalFormatting sqref="H79:I79 K79">
    <cfRule type="expression" dxfId="231" priority="72">
      <formula>$C$79=TRUE</formula>
    </cfRule>
  </conditionalFormatting>
  <conditionalFormatting sqref="H80:I80 K80">
    <cfRule type="expression" dxfId="230" priority="71">
      <formula>$C$80=TRUE</formula>
    </cfRule>
  </conditionalFormatting>
  <conditionalFormatting sqref="H91:I91 K91">
    <cfRule type="expression" dxfId="229" priority="60">
      <formula>$C$91=TRUE</formula>
    </cfRule>
  </conditionalFormatting>
  <conditionalFormatting sqref="H100:I100 K100">
    <cfRule type="expression" dxfId="228" priority="74">
      <formula>$C$100=TRUE</formula>
    </cfRule>
  </conditionalFormatting>
  <conditionalFormatting sqref="H49:J49 H50:K50">
    <cfRule type="expression" dxfId="227" priority="70">
      <formula>#REF!&lt;&gt;#REF!</formula>
    </cfRule>
  </conditionalFormatting>
  <conditionalFormatting sqref="H56:J56 H57:K61">
    <cfRule type="expression" dxfId="226" priority="99">
      <formula>$G$56=$AA$59</formula>
    </cfRule>
  </conditionalFormatting>
  <conditionalFormatting sqref="H58:J59 H60:I61">
    <cfRule type="expression" dxfId="225" priority="63">
      <formula>#REF!&lt;&gt;#REF!</formula>
    </cfRule>
  </conditionalFormatting>
  <conditionalFormatting sqref="H65:J65">
    <cfRule type="expression" dxfId="224" priority="86">
      <formula>$G$65=$AA$65</formula>
    </cfRule>
  </conditionalFormatting>
  <conditionalFormatting sqref="H66:J70">
    <cfRule type="expression" dxfId="223" priority="87">
      <formula>$G$65=$AA$66</formula>
    </cfRule>
  </conditionalFormatting>
  <conditionalFormatting sqref="H24:K24">
    <cfRule type="expression" dxfId="222" priority="91">
      <formula>$G$24=$AA$11</formula>
    </cfRule>
  </conditionalFormatting>
  <conditionalFormatting sqref="H25:K25">
    <cfRule type="expression" dxfId="221" priority="92">
      <formula>$G$24=$AA$10</formula>
    </cfRule>
  </conditionalFormatting>
  <conditionalFormatting sqref="H27:K27 M27">
    <cfRule type="expression" dxfId="220" priority="83">
      <formula>#REF!=0</formula>
    </cfRule>
  </conditionalFormatting>
  <conditionalFormatting sqref="H29:K34">
    <cfRule type="expression" dxfId="219" priority="10">
      <formula>$C29=TRUE</formula>
    </cfRule>
  </conditionalFormatting>
  <conditionalFormatting sqref="H36:K38">
    <cfRule type="expression" dxfId="218" priority="9">
      <formula>$C36=TRUE</formula>
    </cfRule>
  </conditionalFormatting>
  <conditionalFormatting sqref="H40:K45">
    <cfRule type="expression" dxfId="217" priority="8">
      <formula>$C40=TRUE</formula>
    </cfRule>
  </conditionalFormatting>
  <conditionalFormatting sqref="H51:K51">
    <cfRule type="expression" dxfId="216" priority="96">
      <formula>$G$51=$AA$52</formula>
    </cfRule>
  </conditionalFormatting>
  <conditionalFormatting sqref="H52:K52">
    <cfRule type="expression" dxfId="215" priority="93">
      <formula>$G$51=$AA$51</formula>
    </cfRule>
  </conditionalFormatting>
  <conditionalFormatting sqref="H56:K56">
    <cfRule type="expression" dxfId="214" priority="98">
      <formula>$G$56=$AA$58</formula>
    </cfRule>
  </conditionalFormatting>
  <conditionalFormatting sqref="H57:K61">
    <cfRule type="expression" dxfId="213" priority="97">
      <formula>$G$56=$AA$57</formula>
    </cfRule>
  </conditionalFormatting>
  <conditionalFormatting sqref="H58:K58">
    <cfRule type="expression" dxfId="212" priority="68">
      <formula>$C58=TRUE</formula>
    </cfRule>
  </conditionalFormatting>
  <conditionalFormatting sqref="H59:K59">
    <cfRule type="expression" dxfId="211" priority="64">
      <formula>$C$59=TRUE</formula>
    </cfRule>
  </conditionalFormatting>
  <conditionalFormatting sqref="H69:K69">
    <cfRule type="expression" dxfId="210" priority="5">
      <formula>$C69=TRUE</formula>
    </cfRule>
  </conditionalFormatting>
  <conditionalFormatting sqref="H70:K70">
    <cfRule type="expression" dxfId="209" priority="75">
      <formula>$C$70=TRUE</formula>
    </cfRule>
  </conditionalFormatting>
  <conditionalFormatting sqref="H74:K74">
    <cfRule type="expression" dxfId="208" priority="100">
      <formula>$G$74=$AA$75</formula>
    </cfRule>
  </conditionalFormatting>
  <conditionalFormatting sqref="H75:K75">
    <cfRule type="expression" dxfId="207" priority="101">
      <formula>$G$74=$AA$74</formula>
    </cfRule>
  </conditionalFormatting>
  <conditionalFormatting sqref="H83:K83">
    <cfRule type="expression" dxfId="206" priority="94">
      <formula>$G$83=$AA$84</formula>
    </cfRule>
  </conditionalFormatting>
  <conditionalFormatting sqref="H84:K84">
    <cfRule type="expression" dxfId="205" priority="95">
      <formula>$G$83=$AA$83</formula>
    </cfRule>
  </conditionalFormatting>
  <conditionalFormatting sqref="J59">
    <cfRule type="expression" dxfId="204" priority="6">
      <formula>$C59=TRUE</formula>
    </cfRule>
  </conditionalFormatting>
  <conditionalFormatting sqref="J78:J80">
    <cfRule type="expression" dxfId="203" priority="4">
      <formula>$C78=TRUE</formula>
    </cfRule>
  </conditionalFormatting>
  <conditionalFormatting sqref="J91">
    <cfRule type="expression" dxfId="202" priority="3">
      <formula>$C91=TRUE</formula>
    </cfRule>
  </conditionalFormatting>
  <conditionalFormatting sqref="J100">
    <cfRule type="expression" dxfId="201" priority="2">
      <formula>$C100=TRUE</formula>
    </cfRule>
  </conditionalFormatting>
  <conditionalFormatting sqref="K22:K23">
    <cfRule type="expression" dxfId="200" priority="81">
      <formula>$G$21=$I$22</formula>
    </cfRule>
  </conditionalFormatting>
  <conditionalFormatting sqref="K56">
    <cfRule type="expression" dxfId="199" priority="35">
      <formula>#REF!&lt;&gt;#REF!</formula>
    </cfRule>
  </conditionalFormatting>
  <conditionalFormatting sqref="K65">
    <cfRule type="expression" dxfId="198" priority="89">
      <formula>$G$65=$AA$65</formula>
    </cfRule>
  </conditionalFormatting>
  <conditionalFormatting sqref="K66:K70">
    <cfRule type="expression" dxfId="197" priority="88">
      <formula>$G$65=$AA$66</formula>
    </cfRule>
  </conditionalFormatting>
  <conditionalFormatting sqref="K98:K100 K95:K96 K104:K108">
    <cfRule type="expression" dxfId="196" priority="90">
      <formula>$G$73=$AA$74</formula>
    </cfRule>
  </conditionalFormatting>
  <conditionalFormatting sqref="S9:S25 S29:S45 S49:S52 S56:S61 S65:S70 S74:S84 S88:S91 S95:S100 S104:S108">
    <cfRule type="expression" dxfId="195" priority="34">
      <formula>P9=#REF!</formula>
    </cfRule>
  </conditionalFormatting>
  <conditionalFormatting sqref="T9:T25">
    <cfRule type="expression" dxfId="194" priority="57">
      <formula>$Q9=#REF!</formula>
    </cfRule>
    <cfRule type="expression" dxfId="193" priority="56">
      <formula>$Q9=#REF!</formula>
    </cfRule>
  </conditionalFormatting>
  <conditionalFormatting sqref="T28:T45">
    <cfRule type="expression" dxfId="192" priority="55">
      <formula>$Q28=#REF!</formula>
    </cfRule>
    <cfRule type="expression" dxfId="191" priority="54">
      <formula>$Q28=#REF!</formula>
    </cfRule>
  </conditionalFormatting>
  <conditionalFormatting sqref="T48:T61">
    <cfRule type="expression" dxfId="190" priority="49">
      <formula>$Q48=#REF!</formula>
    </cfRule>
    <cfRule type="expression" dxfId="189" priority="48">
      <formula>$Q48=#REF!</formula>
    </cfRule>
  </conditionalFormatting>
  <conditionalFormatting sqref="T64:T70">
    <cfRule type="expression" dxfId="188" priority="47">
      <formula>$Q64=#REF!</formula>
    </cfRule>
    <cfRule type="expression" dxfId="187" priority="46">
      <formula>$Q64=#REF!</formula>
    </cfRule>
  </conditionalFormatting>
  <conditionalFormatting sqref="T73:T84">
    <cfRule type="expression" dxfId="186" priority="45">
      <formula>$Q73=#REF!</formula>
    </cfRule>
    <cfRule type="expression" dxfId="185" priority="44">
      <formula>$Q73=#REF!</formula>
    </cfRule>
  </conditionalFormatting>
  <conditionalFormatting sqref="T87:T100">
    <cfRule type="expression" dxfId="184" priority="38">
      <formula>$Q87=#REF!</formula>
    </cfRule>
    <cfRule type="expression" dxfId="183" priority="39">
      <formula>$Q87=#REF!</formula>
    </cfRule>
  </conditionalFormatting>
  <conditionalFormatting sqref="T103:T108">
    <cfRule type="expression" dxfId="182" priority="37">
      <formula>$Q103=#REF!</formula>
    </cfRule>
    <cfRule type="expression" dxfId="181" priority="36">
      <formula>$Q103=#REF!</formula>
    </cfRule>
  </conditionalFormatting>
  <conditionalFormatting sqref="U9:V108 Y9:Z108">
    <cfRule type="expression" dxfId="180" priority="84">
      <formula>$Q9=#REF!</formula>
    </cfRule>
    <cfRule type="expression" dxfId="179" priority="85">
      <formula>$Q9=#REF!</formula>
    </cfRule>
  </conditionalFormatting>
  <conditionalFormatting sqref="W9:W25 W29:W45 W49:W52 W56:W61 W65:W70 W74:W84 W88:W91 W95:W100 W104:W108">
    <cfRule type="expression" dxfId="178" priority="11">
      <formula>T9=#REF!</formula>
    </cfRule>
  </conditionalFormatting>
  <conditionalFormatting sqref="X9:X25">
    <cfRule type="expression" dxfId="177" priority="33">
      <formula>$Q9=#REF!</formula>
    </cfRule>
    <cfRule type="expression" dxfId="176" priority="32">
      <formula>$Q9=#REF!</formula>
    </cfRule>
  </conditionalFormatting>
  <conditionalFormatting sqref="X28:X45">
    <cfRule type="expression" dxfId="175" priority="31">
      <formula>$Q28=#REF!</formula>
    </cfRule>
    <cfRule type="expression" dxfId="174" priority="30">
      <formula>$Q28=#REF!</formula>
    </cfRule>
  </conditionalFormatting>
  <conditionalFormatting sqref="X48:X61">
    <cfRule type="expression" dxfId="173" priority="25">
      <formula>$Q48=#REF!</formula>
    </cfRule>
    <cfRule type="expression" dxfId="172" priority="24">
      <formula>$Q48=#REF!</formula>
    </cfRule>
  </conditionalFormatting>
  <conditionalFormatting sqref="X64:X70">
    <cfRule type="expression" dxfId="171" priority="23">
      <formula>$Q64=#REF!</formula>
    </cfRule>
    <cfRule type="expression" dxfId="170" priority="22">
      <formula>$Q64=#REF!</formula>
    </cfRule>
  </conditionalFormatting>
  <conditionalFormatting sqref="X73:X84">
    <cfRule type="expression" dxfId="169" priority="21">
      <formula>$Q73=#REF!</formula>
    </cfRule>
    <cfRule type="expression" dxfId="168" priority="20">
      <formula>$Q73=#REF!</formula>
    </cfRule>
  </conditionalFormatting>
  <conditionalFormatting sqref="X87:X100">
    <cfRule type="expression" dxfId="167" priority="15">
      <formula>$Q87=#REF!</formula>
    </cfRule>
    <cfRule type="expression" dxfId="166" priority="14">
      <formula>$Q87=#REF!</formula>
    </cfRule>
  </conditionalFormatting>
  <conditionalFormatting sqref="X103:X108">
    <cfRule type="expression" dxfId="165" priority="13">
      <formula>$Q103=#REF!</formula>
    </cfRule>
    <cfRule type="expression" dxfId="164" priority="12">
      <formula>$Q103=#REF!</formula>
    </cfRule>
  </conditionalFormatting>
  <dataValidations count="18">
    <dataValidation type="decimal" operator="lessThanOrEqual" allowBlank="1" showInputMessage="1" showErrorMessage="1" sqref="K98:K100 K109 K50:K52 K40:K45 K65:K70 K95:K96 K88 K29:K34 K36:K38 K90:K91 K56:K61 K83:K84 K74:K81" xr:uid="{839348B9-D9EA-44AB-A582-76231F4613F7}">
      <formula1>J29</formula1>
    </dataValidation>
    <dataValidation type="list" allowBlank="1" showInputMessage="1" showErrorMessage="1" promptTitle="Selection Required" prompt="Please indicate the project's desired pathway." sqref="G65:G70" xr:uid="{BDD55E61-873A-44DE-922E-35EE85D848A9}">
      <formula1>$AA$65:$AA$66</formula1>
    </dataValidation>
    <dataValidation type="list" allowBlank="1" showInputMessage="1" showErrorMessage="1" sqref="G63" xr:uid="{50C85480-5764-4DF3-BB8A-460C83C96E07}">
      <formula1>$AA$57:$AA$57</formula1>
    </dataValidation>
    <dataValidation type="decimal" allowBlank="1" showInputMessage="1" showErrorMessage="1" sqref="K20 K22:K23 K9:K12 K14:K18" xr:uid="{FC09DBEE-8CA2-418B-B670-15354DD116E4}">
      <formula1>0</formula1>
      <formula2>J9</formula2>
    </dataValidation>
    <dataValidation type="decimal" operator="lessThanOrEqual" allowBlank="1" showInputMessage="1" showErrorMessage="1" sqref="K104:K108" xr:uid="{2074978A-A483-4699-9B87-FCFCA6C3F748}">
      <formula1>10</formula1>
    </dataValidation>
    <dataValidation type="list" allowBlank="1" showInputMessage="1" showErrorMessage="1" sqref="P65:P70 P74:P84 P56:P61 P88:P91 P49:P52 P9:P25 P95:P100 P29:P45" xr:uid="{C85C9CF2-4583-4017-82AD-F79D2F520E40}">
      <formula1>$AB$11:$AB$12</formula1>
    </dataValidation>
    <dataValidation type="list" allowBlank="1" showInputMessage="1" showErrorMessage="1" sqref="O104:P108 G27 G72" xr:uid="{F88ECDA1-A1E9-469E-B750-68E826C08C27}">
      <formula1>#REF!</formula1>
    </dataValidation>
    <dataValidation type="list" allowBlank="1" showInputMessage="1" showErrorMessage="1" sqref="O95:O100 O74:O84 O56:O61 O88:O91 O49:O52 O9:O25 O29:O45 O65:O70" xr:uid="{7C7B1A89-2844-4803-8B9E-77670829C4D5}">
      <formula1>$AB$12:$AB$12</formula1>
    </dataValidation>
    <dataValidation type="list" allowBlank="1" showInputMessage="1" showErrorMessage="1" promptTitle="Selection Required" prompt="Please indicate the project's desired pathway." sqref="G24:G25" xr:uid="{A754603E-9353-451F-822B-9C451C88A7E9}">
      <formula1>$AA$10:$AA$11</formula1>
    </dataValidation>
    <dataValidation type="list" allowBlank="1" showInputMessage="1" showErrorMessage="1" promptTitle="Selection Required" prompt="Please indicate the project's desired pathway." sqref="G51:G52" xr:uid="{D947A588-3EFE-4710-AFD7-02DA3FB1366C}">
      <formula1>$AA$51:$AA$52</formula1>
    </dataValidation>
    <dataValidation type="list" allowBlank="1" showInputMessage="1" showErrorMessage="1" sqref="G54" xr:uid="{D5E0C4BB-D742-4076-8E85-24EC7BB1FADB}">
      <formula1>$AA$51:$AA$51</formula1>
    </dataValidation>
    <dataValidation type="decimal" operator="lessThanOrEqual" allowBlank="1" showInputMessage="1" showErrorMessage="1" sqref="K24:K25" xr:uid="{0CD56CF1-870E-4599-8BBA-F682E347598E}">
      <formula1>1</formula1>
    </dataValidation>
    <dataValidation type="list" allowBlank="1" showInputMessage="1" showErrorMessage="1" promptTitle="Selection Required" prompt="Please indicate the project's desired pathway." sqref="G83:G84" xr:uid="{2A7BA5DB-D168-41E2-889F-7D445397C7FF}">
      <formula1>$AA$83:$AA$84</formula1>
    </dataValidation>
    <dataValidation type="list" allowBlank="1" showInputMessage="1" showErrorMessage="1" sqref="G56:G61" xr:uid="{CC253589-F6CD-491E-85C5-EF7CAEBC3AB0}">
      <formula1>$AA$57:$AA$58</formula1>
    </dataValidation>
    <dataValidation type="list" allowBlank="1" showInputMessage="1" showErrorMessage="1" sqref="G74:G75" xr:uid="{2E2A39EF-35B3-43C8-B5E6-0A7CC5485E7D}">
      <formula1>$AA$74:$AA$75</formula1>
    </dataValidation>
    <dataValidation type="list" allowBlank="1" showInputMessage="1" showErrorMessage="1" sqref="K13 K97 K82 K49 K39 K89 K21 K19 K35" xr:uid="{9B037C72-C57C-4A99-8F12-C5EAA5D600EF}">
      <formula1>$AD$10:$AD$11</formula1>
    </dataValidation>
    <dataValidation type="list" allowBlank="1" showInputMessage="1" showErrorMessage="1" sqref="AA7 X9:X25 T9:T25" xr:uid="{8D79191A-8DAB-4C32-9AFA-9570716B59D0}">
      <formula1>$AA$16:$AA$18</formula1>
    </dataValidation>
    <dataValidation type="list" allowBlank="1" showInputMessage="1" showErrorMessage="1" sqref="Q29:Q45 Q104:Q108 Q95:Q100 Q9:Q25 Q74:Q84 Q49:Q52 Q65:Q70 Q56:Q61 Q88:Q91" xr:uid="{78BDA6A0-7CA0-48AA-9E5D-FE2C76992D67}">
      <formula1>$AC$11:$AC$14</formula1>
    </dataValidation>
  </dataValidations>
  <pageMargins left="0.70866141732283472" right="0.70866141732283472" top="0.74803149606299213" bottom="0.74803149606299213" header="0.31496062992125984" footer="0.31496062992125984"/>
  <pageSetup paperSize="9" scale="51" fitToHeight="0"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4</xdr:col>
                    <xdr:colOff>38100</xdr:colOff>
                    <xdr:row>29</xdr:row>
                    <xdr:rowOff>175260</xdr:rowOff>
                  </from>
                  <to>
                    <xdr:col>5</xdr:col>
                    <xdr:colOff>320040</xdr:colOff>
                    <xdr:row>29</xdr:row>
                    <xdr:rowOff>381000</xdr:rowOff>
                  </to>
                </anchor>
              </controlPr>
            </control>
          </mc:Choice>
        </mc:AlternateContent>
        <mc:AlternateContent xmlns:mc="http://schemas.openxmlformats.org/markup-compatibility/2006">
          <mc:Choice Requires="x14">
            <control shapeId="44034" r:id="rId5" name="Check Box 2">
              <controlPr defaultSize="0" autoFill="0" autoLine="0" autoPict="0">
                <anchor moveWithCells="1">
                  <from>
                    <xdr:col>4</xdr:col>
                    <xdr:colOff>38100</xdr:colOff>
                    <xdr:row>28</xdr:row>
                    <xdr:rowOff>182880</xdr:rowOff>
                  </from>
                  <to>
                    <xdr:col>5</xdr:col>
                    <xdr:colOff>320040</xdr:colOff>
                    <xdr:row>28</xdr:row>
                    <xdr:rowOff>411480</xdr:rowOff>
                  </to>
                </anchor>
              </controlPr>
            </control>
          </mc:Choice>
        </mc:AlternateContent>
        <mc:AlternateContent xmlns:mc="http://schemas.openxmlformats.org/markup-compatibility/2006">
          <mc:Choice Requires="x14">
            <control shapeId="44035" r:id="rId6" name="Check Box 3">
              <controlPr defaultSize="0" autoFill="0" autoLine="0" autoPict="0">
                <anchor moveWithCells="1">
                  <from>
                    <xdr:col>4</xdr:col>
                    <xdr:colOff>38100</xdr:colOff>
                    <xdr:row>30</xdr:row>
                    <xdr:rowOff>175260</xdr:rowOff>
                  </from>
                  <to>
                    <xdr:col>5</xdr:col>
                    <xdr:colOff>320040</xdr:colOff>
                    <xdr:row>30</xdr:row>
                    <xdr:rowOff>381000</xdr:rowOff>
                  </to>
                </anchor>
              </controlPr>
            </control>
          </mc:Choice>
        </mc:AlternateContent>
        <mc:AlternateContent xmlns:mc="http://schemas.openxmlformats.org/markup-compatibility/2006">
          <mc:Choice Requires="x14">
            <control shapeId="44036" r:id="rId7" name="Check Box 4">
              <controlPr defaultSize="0" autoFill="0" autoLine="0" autoPict="0">
                <anchor moveWithCells="1">
                  <from>
                    <xdr:col>4</xdr:col>
                    <xdr:colOff>38100</xdr:colOff>
                    <xdr:row>31</xdr:row>
                    <xdr:rowOff>175260</xdr:rowOff>
                  </from>
                  <to>
                    <xdr:col>5</xdr:col>
                    <xdr:colOff>320040</xdr:colOff>
                    <xdr:row>31</xdr:row>
                    <xdr:rowOff>381000</xdr:rowOff>
                  </to>
                </anchor>
              </controlPr>
            </control>
          </mc:Choice>
        </mc:AlternateContent>
        <mc:AlternateContent xmlns:mc="http://schemas.openxmlformats.org/markup-compatibility/2006">
          <mc:Choice Requires="x14">
            <control shapeId="44037" r:id="rId8" name="Check Box 5">
              <controlPr defaultSize="0" autoFill="0" autoLine="0" autoPict="0">
                <anchor moveWithCells="1">
                  <from>
                    <xdr:col>4</xdr:col>
                    <xdr:colOff>38100</xdr:colOff>
                    <xdr:row>32</xdr:row>
                    <xdr:rowOff>175260</xdr:rowOff>
                  </from>
                  <to>
                    <xdr:col>5</xdr:col>
                    <xdr:colOff>320040</xdr:colOff>
                    <xdr:row>32</xdr:row>
                    <xdr:rowOff>381000</xdr:rowOff>
                  </to>
                </anchor>
              </controlPr>
            </control>
          </mc:Choice>
        </mc:AlternateContent>
        <mc:AlternateContent xmlns:mc="http://schemas.openxmlformats.org/markup-compatibility/2006">
          <mc:Choice Requires="x14">
            <control shapeId="44038" r:id="rId9" name="Check Box 6">
              <controlPr defaultSize="0" autoFill="0" autoLine="0" autoPict="0">
                <anchor moveWithCells="1">
                  <from>
                    <xdr:col>4</xdr:col>
                    <xdr:colOff>38100</xdr:colOff>
                    <xdr:row>33</xdr:row>
                    <xdr:rowOff>175260</xdr:rowOff>
                  </from>
                  <to>
                    <xdr:col>5</xdr:col>
                    <xdr:colOff>320040</xdr:colOff>
                    <xdr:row>33</xdr:row>
                    <xdr:rowOff>381000</xdr:rowOff>
                  </to>
                </anchor>
              </controlPr>
            </control>
          </mc:Choice>
        </mc:AlternateContent>
        <mc:AlternateContent xmlns:mc="http://schemas.openxmlformats.org/markup-compatibility/2006">
          <mc:Choice Requires="x14">
            <control shapeId="44039" r:id="rId10" name="Check Box 7">
              <controlPr defaultSize="0" autoFill="0" autoLine="0" autoPict="0">
                <anchor moveWithCells="1">
                  <from>
                    <xdr:col>4</xdr:col>
                    <xdr:colOff>38100</xdr:colOff>
                    <xdr:row>35</xdr:row>
                    <xdr:rowOff>175260</xdr:rowOff>
                  </from>
                  <to>
                    <xdr:col>5</xdr:col>
                    <xdr:colOff>320040</xdr:colOff>
                    <xdr:row>35</xdr:row>
                    <xdr:rowOff>381000</xdr:rowOff>
                  </to>
                </anchor>
              </controlPr>
            </control>
          </mc:Choice>
        </mc:AlternateContent>
        <mc:AlternateContent xmlns:mc="http://schemas.openxmlformats.org/markup-compatibility/2006">
          <mc:Choice Requires="x14">
            <control shapeId="44040" r:id="rId11" name="Check Box 8">
              <controlPr defaultSize="0" autoFill="0" autoLine="0" autoPict="0">
                <anchor moveWithCells="1">
                  <from>
                    <xdr:col>4</xdr:col>
                    <xdr:colOff>38100</xdr:colOff>
                    <xdr:row>36</xdr:row>
                    <xdr:rowOff>175260</xdr:rowOff>
                  </from>
                  <to>
                    <xdr:col>5</xdr:col>
                    <xdr:colOff>320040</xdr:colOff>
                    <xdr:row>36</xdr:row>
                    <xdr:rowOff>381000</xdr:rowOff>
                  </to>
                </anchor>
              </controlPr>
            </control>
          </mc:Choice>
        </mc:AlternateContent>
        <mc:AlternateContent xmlns:mc="http://schemas.openxmlformats.org/markup-compatibility/2006">
          <mc:Choice Requires="x14">
            <control shapeId="44041" r:id="rId12" name="Check Box 9">
              <controlPr defaultSize="0" autoFill="0" autoLine="0" autoPict="0">
                <anchor moveWithCells="1">
                  <from>
                    <xdr:col>4</xdr:col>
                    <xdr:colOff>38100</xdr:colOff>
                    <xdr:row>37</xdr:row>
                    <xdr:rowOff>175260</xdr:rowOff>
                  </from>
                  <to>
                    <xdr:col>5</xdr:col>
                    <xdr:colOff>320040</xdr:colOff>
                    <xdr:row>37</xdr:row>
                    <xdr:rowOff>381000</xdr:rowOff>
                  </to>
                </anchor>
              </controlPr>
            </control>
          </mc:Choice>
        </mc:AlternateContent>
        <mc:AlternateContent xmlns:mc="http://schemas.openxmlformats.org/markup-compatibility/2006">
          <mc:Choice Requires="x14">
            <control shapeId="44042" r:id="rId13" name="Check Box 10">
              <controlPr defaultSize="0" autoFill="0" autoLine="0" autoPict="0">
                <anchor moveWithCells="1">
                  <from>
                    <xdr:col>4</xdr:col>
                    <xdr:colOff>38100</xdr:colOff>
                    <xdr:row>39</xdr:row>
                    <xdr:rowOff>175260</xdr:rowOff>
                  </from>
                  <to>
                    <xdr:col>5</xdr:col>
                    <xdr:colOff>320040</xdr:colOff>
                    <xdr:row>39</xdr:row>
                    <xdr:rowOff>381000</xdr:rowOff>
                  </to>
                </anchor>
              </controlPr>
            </control>
          </mc:Choice>
        </mc:AlternateContent>
        <mc:AlternateContent xmlns:mc="http://schemas.openxmlformats.org/markup-compatibility/2006">
          <mc:Choice Requires="x14">
            <control shapeId="44043" r:id="rId14" name="Check Box 11">
              <controlPr defaultSize="0" autoFill="0" autoLine="0" autoPict="0">
                <anchor moveWithCells="1">
                  <from>
                    <xdr:col>4</xdr:col>
                    <xdr:colOff>38100</xdr:colOff>
                    <xdr:row>40</xdr:row>
                    <xdr:rowOff>175260</xdr:rowOff>
                  </from>
                  <to>
                    <xdr:col>5</xdr:col>
                    <xdr:colOff>320040</xdr:colOff>
                    <xdr:row>40</xdr:row>
                    <xdr:rowOff>381000</xdr:rowOff>
                  </to>
                </anchor>
              </controlPr>
            </control>
          </mc:Choice>
        </mc:AlternateContent>
        <mc:AlternateContent xmlns:mc="http://schemas.openxmlformats.org/markup-compatibility/2006">
          <mc:Choice Requires="x14">
            <control shapeId="44044" r:id="rId15" name="Check Box 12">
              <controlPr defaultSize="0" autoFill="0" autoLine="0" autoPict="0">
                <anchor moveWithCells="1">
                  <from>
                    <xdr:col>4</xdr:col>
                    <xdr:colOff>38100</xdr:colOff>
                    <xdr:row>41</xdr:row>
                    <xdr:rowOff>175260</xdr:rowOff>
                  </from>
                  <to>
                    <xdr:col>5</xdr:col>
                    <xdr:colOff>320040</xdr:colOff>
                    <xdr:row>41</xdr:row>
                    <xdr:rowOff>381000</xdr:rowOff>
                  </to>
                </anchor>
              </controlPr>
            </control>
          </mc:Choice>
        </mc:AlternateContent>
        <mc:AlternateContent xmlns:mc="http://schemas.openxmlformats.org/markup-compatibility/2006">
          <mc:Choice Requires="x14">
            <control shapeId="44045" r:id="rId16" name="Check Box 13">
              <controlPr defaultSize="0" autoFill="0" autoLine="0" autoPict="0">
                <anchor moveWithCells="1">
                  <from>
                    <xdr:col>4</xdr:col>
                    <xdr:colOff>38100</xdr:colOff>
                    <xdr:row>42</xdr:row>
                    <xdr:rowOff>175260</xdr:rowOff>
                  </from>
                  <to>
                    <xdr:col>5</xdr:col>
                    <xdr:colOff>320040</xdr:colOff>
                    <xdr:row>42</xdr:row>
                    <xdr:rowOff>381000</xdr:rowOff>
                  </to>
                </anchor>
              </controlPr>
            </control>
          </mc:Choice>
        </mc:AlternateContent>
        <mc:AlternateContent xmlns:mc="http://schemas.openxmlformats.org/markup-compatibility/2006">
          <mc:Choice Requires="x14">
            <control shapeId="44046" r:id="rId17" name="Check Box 14">
              <controlPr defaultSize="0" autoFill="0" autoLine="0" autoPict="0">
                <anchor moveWithCells="1">
                  <from>
                    <xdr:col>4</xdr:col>
                    <xdr:colOff>38100</xdr:colOff>
                    <xdr:row>43</xdr:row>
                    <xdr:rowOff>175260</xdr:rowOff>
                  </from>
                  <to>
                    <xdr:col>5</xdr:col>
                    <xdr:colOff>320040</xdr:colOff>
                    <xdr:row>43</xdr:row>
                    <xdr:rowOff>381000</xdr:rowOff>
                  </to>
                </anchor>
              </controlPr>
            </control>
          </mc:Choice>
        </mc:AlternateContent>
        <mc:AlternateContent xmlns:mc="http://schemas.openxmlformats.org/markup-compatibility/2006">
          <mc:Choice Requires="x14">
            <control shapeId="44047" r:id="rId18" name="Check Box 15">
              <controlPr defaultSize="0" autoFill="0" autoLine="0" autoPict="0">
                <anchor moveWithCells="1">
                  <from>
                    <xdr:col>4</xdr:col>
                    <xdr:colOff>38100</xdr:colOff>
                    <xdr:row>44</xdr:row>
                    <xdr:rowOff>175260</xdr:rowOff>
                  </from>
                  <to>
                    <xdr:col>5</xdr:col>
                    <xdr:colOff>320040</xdr:colOff>
                    <xdr:row>44</xdr:row>
                    <xdr:rowOff>381000</xdr:rowOff>
                  </to>
                </anchor>
              </controlPr>
            </control>
          </mc:Choice>
        </mc:AlternateContent>
        <mc:AlternateContent xmlns:mc="http://schemas.openxmlformats.org/markup-compatibility/2006">
          <mc:Choice Requires="x14">
            <control shapeId="44048" r:id="rId19" name="Check Box 16">
              <controlPr defaultSize="0" autoFill="0" autoLine="0" autoPict="0">
                <anchor moveWithCells="1">
                  <from>
                    <xdr:col>4</xdr:col>
                    <xdr:colOff>38100</xdr:colOff>
                    <xdr:row>57</xdr:row>
                    <xdr:rowOff>175260</xdr:rowOff>
                  </from>
                  <to>
                    <xdr:col>5</xdr:col>
                    <xdr:colOff>320040</xdr:colOff>
                    <xdr:row>57</xdr:row>
                    <xdr:rowOff>381000</xdr:rowOff>
                  </to>
                </anchor>
              </controlPr>
            </control>
          </mc:Choice>
        </mc:AlternateContent>
        <mc:AlternateContent xmlns:mc="http://schemas.openxmlformats.org/markup-compatibility/2006">
          <mc:Choice Requires="x14">
            <control shapeId="44049" r:id="rId20" name="Check Box 17">
              <controlPr defaultSize="0" autoFill="0" autoLine="0" autoPict="0">
                <anchor moveWithCells="1">
                  <from>
                    <xdr:col>4</xdr:col>
                    <xdr:colOff>38100</xdr:colOff>
                    <xdr:row>58</xdr:row>
                    <xdr:rowOff>175260</xdr:rowOff>
                  </from>
                  <to>
                    <xdr:col>5</xdr:col>
                    <xdr:colOff>320040</xdr:colOff>
                    <xdr:row>58</xdr:row>
                    <xdr:rowOff>381000</xdr:rowOff>
                  </to>
                </anchor>
              </controlPr>
            </control>
          </mc:Choice>
        </mc:AlternateContent>
        <mc:AlternateContent xmlns:mc="http://schemas.openxmlformats.org/markup-compatibility/2006">
          <mc:Choice Requires="x14">
            <control shapeId="44050" r:id="rId21" name="Check Box 18">
              <controlPr defaultSize="0" autoFill="0" autoLine="0" autoPict="0">
                <anchor moveWithCells="1">
                  <from>
                    <xdr:col>4</xdr:col>
                    <xdr:colOff>38100</xdr:colOff>
                    <xdr:row>68</xdr:row>
                    <xdr:rowOff>175260</xdr:rowOff>
                  </from>
                  <to>
                    <xdr:col>5</xdr:col>
                    <xdr:colOff>320040</xdr:colOff>
                    <xdr:row>68</xdr:row>
                    <xdr:rowOff>381000</xdr:rowOff>
                  </to>
                </anchor>
              </controlPr>
            </control>
          </mc:Choice>
        </mc:AlternateContent>
        <mc:AlternateContent xmlns:mc="http://schemas.openxmlformats.org/markup-compatibility/2006">
          <mc:Choice Requires="x14">
            <control shapeId="44051" r:id="rId22" name="Check Box 19">
              <controlPr defaultSize="0" autoFill="0" autoLine="0" autoPict="0">
                <anchor moveWithCells="1">
                  <from>
                    <xdr:col>4</xdr:col>
                    <xdr:colOff>38100</xdr:colOff>
                    <xdr:row>69</xdr:row>
                    <xdr:rowOff>175260</xdr:rowOff>
                  </from>
                  <to>
                    <xdr:col>5</xdr:col>
                    <xdr:colOff>320040</xdr:colOff>
                    <xdr:row>69</xdr:row>
                    <xdr:rowOff>381000</xdr:rowOff>
                  </to>
                </anchor>
              </controlPr>
            </control>
          </mc:Choice>
        </mc:AlternateContent>
        <mc:AlternateContent xmlns:mc="http://schemas.openxmlformats.org/markup-compatibility/2006">
          <mc:Choice Requires="x14">
            <control shapeId="44052" r:id="rId23" name="Check Box 20">
              <controlPr defaultSize="0" autoFill="0" autoLine="0" autoPict="0">
                <anchor moveWithCells="1">
                  <from>
                    <xdr:col>4</xdr:col>
                    <xdr:colOff>38100</xdr:colOff>
                    <xdr:row>90</xdr:row>
                    <xdr:rowOff>175260</xdr:rowOff>
                  </from>
                  <to>
                    <xdr:col>5</xdr:col>
                    <xdr:colOff>320040</xdr:colOff>
                    <xdr:row>90</xdr:row>
                    <xdr:rowOff>381000</xdr:rowOff>
                  </to>
                </anchor>
              </controlPr>
            </control>
          </mc:Choice>
        </mc:AlternateContent>
        <mc:AlternateContent xmlns:mc="http://schemas.openxmlformats.org/markup-compatibility/2006">
          <mc:Choice Requires="x14">
            <control shapeId="44053" r:id="rId24" name="Check Box 21">
              <controlPr defaultSize="0" autoFill="0" autoLine="0" autoPict="0">
                <anchor moveWithCells="1">
                  <from>
                    <xdr:col>4</xdr:col>
                    <xdr:colOff>38100</xdr:colOff>
                    <xdr:row>77</xdr:row>
                    <xdr:rowOff>175260</xdr:rowOff>
                  </from>
                  <to>
                    <xdr:col>5</xdr:col>
                    <xdr:colOff>320040</xdr:colOff>
                    <xdr:row>77</xdr:row>
                    <xdr:rowOff>381000</xdr:rowOff>
                  </to>
                </anchor>
              </controlPr>
            </control>
          </mc:Choice>
        </mc:AlternateContent>
        <mc:AlternateContent xmlns:mc="http://schemas.openxmlformats.org/markup-compatibility/2006">
          <mc:Choice Requires="x14">
            <control shapeId="44054" r:id="rId25" name="Check Box 22">
              <controlPr defaultSize="0" autoFill="0" autoLine="0" autoPict="0">
                <anchor moveWithCells="1">
                  <from>
                    <xdr:col>4</xdr:col>
                    <xdr:colOff>38100</xdr:colOff>
                    <xdr:row>78</xdr:row>
                    <xdr:rowOff>175260</xdr:rowOff>
                  </from>
                  <to>
                    <xdr:col>5</xdr:col>
                    <xdr:colOff>320040</xdr:colOff>
                    <xdr:row>78</xdr:row>
                    <xdr:rowOff>381000</xdr:rowOff>
                  </to>
                </anchor>
              </controlPr>
            </control>
          </mc:Choice>
        </mc:AlternateContent>
        <mc:AlternateContent xmlns:mc="http://schemas.openxmlformats.org/markup-compatibility/2006">
          <mc:Choice Requires="x14">
            <control shapeId="44055" r:id="rId26" name="Check Box 23">
              <controlPr defaultSize="0" autoFill="0" autoLine="0" autoPict="0">
                <anchor moveWithCells="1">
                  <from>
                    <xdr:col>4</xdr:col>
                    <xdr:colOff>38100</xdr:colOff>
                    <xdr:row>79</xdr:row>
                    <xdr:rowOff>175260</xdr:rowOff>
                  </from>
                  <to>
                    <xdr:col>5</xdr:col>
                    <xdr:colOff>320040</xdr:colOff>
                    <xdr:row>79</xdr:row>
                    <xdr:rowOff>381000</xdr:rowOff>
                  </to>
                </anchor>
              </controlPr>
            </control>
          </mc:Choice>
        </mc:AlternateContent>
        <mc:AlternateContent xmlns:mc="http://schemas.openxmlformats.org/markup-compatibility/2006">
          <mc:Choice Requires="x14">
            <control shapeId="44056" r:id="rId27" name="Check Box 24">
              <controlPr defaultSize="0" autoFill="0" autoLine="0" autoPict="0">
                <anchor moveWithCells="1">
                  <from>
                    <xdr:col>4</xdr:col>
                    <xdr:colOff>38100</xdr:colOff>
                    <xdr:row>99</xdr:row>
                    <xdr:rowOff>175260</xdr:rowOff>
                  </from>
                  <to>
                    <xdr:col>5</xdr:col>
                    <xdr:colOff>320040</xdr:colOff>
                    <xdr:row>99</xdr:row>
                    <xdr:rowOff>381000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755F50-2C40-4E31-86A0-0057E8EBCBB5}">
          <x14:formula1>
            <xm:f>'Building Input'!$P$20:$P$21</xm:f>
          </x14:formula1>
          <xm:sqref>H5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0AABA-C403-41B6-BC82-BFC6D5956A0F}">
  <sheetPr>
    <pageSetUpPr fitToPage="1"/>
  </sheetPr>
  <dimension ref="A1:AE131"/>
  <sheetViews>
    <sheetView showGridLines="0" topLeftCell="E1" zoomScale="80" zoomScaleNormal="80" workbookViewId="0">
      <selection activeCell="H5" sqref="H5"/>
    </sheetView>
  </sheetViews>
  <sheetFormatPr defaultColWidth="9" defaultRowHeight="13.9"/>
  <cols>
    <col min="1" max="1" width="0.75" style="152" hidden="1" customWidth="1"/>
    <col min="2" max="2" width="2" style="152" hidden="1" customWidth="1"/>
    <col min="3" max="3" width="27.375" style="152" hidden="1" customWidth="1"/>
    <col min="4" max="4" width="0.375" style="152" hidden="1" customWidth="1"/>
    <col min="5" max="5" width="7" style="152" customWidth="1"/>
    <col min="6" max="6" width="24" style="10" customWidth="1"/>
    <col min="7" max="7" width="41.625" style="10" customWidth="1"/>
    <col min="8" max="8" width="9.625" style="8" customWidth="1"/>
    <col min="9" max="9" width="42.5" style="10" customWidth="1"/>
    <col min="10" max="10" width="15.75" style="8" customWidth="1"/>
    <col min="11" max="11" width="14" style="8" customWidth="1"/>
    <col min="12" max="12" width="9.25" style="11" customWidth="1"/>
    <col min="13" max="13" width="16" style="8" customWidth="1"/>
    <col min="14" max="14" width="13.75" style="8" customWidth="1"/>
    <col min="15" max="15" width="14" style="8" hidden="1" customWidth="1"/>
    <col min="16" max="16" width="29.75" style="8" hidden="1" customWidth="1"/>
    <col min="17" max="17" width="24" style="179" customWidth="1"/>
    <col min="18" max="18" width="24.125" style="11" hidden="1" customWidth="1"/>
    <col min="19" max="19" width="57.25" style="228" customWidth="1"/>
    <col min="20" max="20" width="9" style="11" hidden="1" customWidth="1"/>
    <col min="21" max="21" width="42.625" style="212" hidden="1" customWidth="1"/>
    <col min="22" max="22" width="40.375" style="212" hidden="1" customWidth="1"/>
    <col min="23" max="23" width="45.875" style="228" hidden="1" customWidth="1"/>
    <col min="24" max="24" width="11.375" style="11" hidden="1" customWidth="1"/>
    <col min="25" max="25" width="46" style="212" hidden="1" customWidth="1"/>
    <col min="26" max="26" width="43.625" style="212" hidden="1" customWidth="1"/>
    <col min="27" max="27" width="31.25" style="11" hidden="1" customWidth="1"/>
    <col min="28" max="28" width="9" style="11" hidden="1" customWidth="1"/>
    <col min="29" max="30" width="15.75" style="11" hidden="1" customWidth="1"/>
    <col min="31" max="31" width="9" style="11" hidden="1" customWidth="1"/>
    <col min="32" max="43" width="9" style="11" customWidth="1"/>
    <col min="44" max="16384" width="9" style="11"/>
  </cols>
  <sheetData>
    <row r="1" spans="1:31" ht="73.5" customHeight="1">
      <c r="A1" s="152" t="s">
        <v>14</v>
      </c>
      <c r="B1" s="152" t="s">
        <v>14</v>
      </c>
      <c r="C1" s="295" t="s">
        <v>14</v>
      </c>
      <c r="F1" s="338" t="s">
        <v>74</v>
      </c>
      <c r="G1" s="339"/>
      <c r="H1" s="339"/>
      <c r="I1" s="339"/>
      <c r="J1" s="6"/>
      <c r="K1" s="6"/>
      <c r="L1" s="7"/>
      <c r="O1" s="8" t="s">
        <v>14</v>
      </c>
      <c r="P1" s="8" t="s">
        <v>14</v>
      </c>
      <c r="Q1" s="175"/>
      <c r="R1" s="9"/>
      <c r="S1" s="340" t="s">
        <v>75</v>
      </c>
      <c r="T1" s="341"/>
      <c r="U1" s="341"/>
      <c r="V1" s="342"/>
      <c r="W1" s="340" t="s">
        <v>76</v>
      </c>
      <c r="X1" s="341"/>
      <c r="Y1" s="341"/>
      <c r="Z1" s="342"/>
    </row>
    <row r="2" spans="1:31" ht="37.5" customHeight="1">
      <c r="A2" s="166" t="s">
        <v>77</v>
      </c>
      <c r="B2" s="166" t="s">
        <v>78</v>
      </c>
      <c r="C2" s="167" t="s">
        <v>79</v>
      </c>
      <c r="F2" s="343" t="s">
        <v>80</v>
      </c>
      <c r="G2" s="344"/>
      <c r="H2" s="344"/>
      <c r="I2" s="13"/>
      <c r="J2" s="345" t="s">
        <v>81</v>
      </c>
      <c r="K2" s="345" t="s">
        <v>82</v>
      </c>
      <c r="L2" s="15"/>
      <c r="M2" s="345" t="s">
        <v>83</v>
      </c>
      <c r="N2" s="345" t="s">
        <v>84</v>
      </c>
      <c r="O2" s="16"/>
      <c r="P2" s="16"/>
      <c r="Q2" s="176"/>
      <c r="R2" s="17"/>
      <c r="S2" s="300"/>
      <c r="T2" s="346" t="s">
        <v>85</v>
      </c>
      <c r="U2" s="347"/>
      <c r="V2" s="348"/>
      <c r="W2" s="300"/>
      <c r="X2" s="346" t="s">
        <v>86</v>
      </c>
      <c r="Y2" s="347"/>
      <c r="Z2" s="348"/>
    </row>
    <row r="3" spans="1:31" ht="37.5" customHeight="1" thickBot="1">
      <c r="A3" s="179"/>
      <c r="B3" s="179"/>
      <c r="C3" s="295"/>
      <c r="F3" s="343"/>
      <c r="G3" s="344"/>
      <c r="H3" s="344"/>
      <c r="I3" s="13"/>
      <c r="J3" s="345"/>
      <c r="K3" s="345"/>
      <c r="L3" s="15"/>
      <c r="M3" s="345"/>
      <c r="N3" s="345"/>
      <c r="O3" s="16"/>
      <c r="P3" s="16"/>
      <c r="Q3" s="176"/>
      <c r="R3" s="17"/>
      <c r="S3" s="301"/>
      <c r="T3" s="349" t="s">
        <v>87</v>
      </c>
      <c r="U3" s="349"/>
      <c r="V3" s="350"/>
      <c r="W3" s="301"/>
      <c r="X3" s="349" t="s">
        <v>87</v>
      </c>
      <c r="Y3" s="349"/>
      <c r="Z3" s="350"/>
    </row>
    <row r="4" spans="1:31" ht="45" customHeight="1" thickBot="1">
      <c r="F4" s="336" t="s">
        <v>88</v>
      </c>
      <c r="G4" s="351" t="str">
        <f>IF(K4&gt;=75,"6 Stars - World Leadership",IF(K4&gt;=60,"5 Star - New Zealand Excellence",IF(K4&gt;=45,"4 Star - New Zealand Best Practice","")))</f>
        <v/>
      </c>
      <c r="H4" s="351"/>
      <c r="I4" s="20"/>
      <c r="J4" s="125">
        <f>J112</f>
        <v>100</v>
      </c>
      <c r="K4" s="126">
        <f>K115</f>
        <v>0</v>
      </c>
      <c r="L4" s="15"/>
      <c r="M4" s="173">
        <f>M112</f>
        <v>0</v>
      </c>
      <c r="N4" s="173">
        <f>N112</f>
        <v>0</v>
      </c>
      <c r="O4" s="21"/>
      <c r="P4" s="164" t="str">
        <f>IF(Q125&lt;=SUM(P121:P122),"",R125)</f>
        <v/>
      </c>
      <c r="Q4" s="177"/>
      <c r="R4" s="17"/>
      <c r="S4" s="302"/>
      <c r="T4" s="352" t="s">
        <v>89</v>
      </c>
      <c r="U4" s="352"/>
      <c r="V4" s="353"/>
      <c r="W4" s="302"/>
      <c r="X4" s="352" t="s">
        <v>89</v>
      </c>
      <c r="Y4" s="352"/>
      <c r="Z4" s="353"/>
    </row>
    <row r="5" spans="1:31" ht="45" customHeight="1" thickBot="1">
      <c r="F5" s="343" t="s">
        <v>90</v>
      </c>
      <c r="G5" s="343"/>
      <c r="H5" s="337" t="s">
        <v>68</v>
      </c>
      <c r="I5" s="20" t="str">
        <f>IF(H5="Yes","Please contact the NZGBC to obtain the Integrated Fitout scorecard",IF(H5="","Please select an answer",""))</f>
        <v/>
      </c>
      <c r="J5" s="331"/>
      <c r="K5" s="332"/>
      <c r="L5" s="333"/>
      <c r="M5" s="334"/>
      <c r="N5" s="334"/>
      <c r="O5" s="21"/>
      <c r="P5" s="328"/>
      <c r="Q5" s="177"/>
      <c r="R5" s="17"/>
      <c r="S5" s="302"/>
      <c r="T5" s="329"/>
      <c r="U5" s="329"/>
      <c r="V5" s="330"/>
      <c r="W5" s="302"/>
      <c r="X5" s="354" t="s">
        <v>91</v>
      </c>
      <c r="Y5" s="354"/>
      <c r="Z5" s="355"/>
    </row>
    <row r="6" spans="1:31" ht="37.5" customHeight="1" thickBot="1">
      <c r="F6" s="335"/>
      <c r="G6" s="22"/>
      <c r="H6" s="6"/>
      <c r="I6" s="22"/>
      <c r="J6" s="6"/>
      <c r="K6" s="6"/>
      <c r="L6" s="15"/>
      <c r="M6" s="6"/>
      <c r="N6" s="6"/>
      <c r="O6" s="6"/>
      <c r="P6" s="6"/>
      <c r="Q6" s="175"/>
      <c r="R6" s="9"/>
      <c r="S6" s="303"/>
      <c r="T6" s="354" t="s">
        <v>91</v>
      </c>
      <c r="U6" s="354"/>
      <c r="V6" s="355"/>
      <c r="W6" s="11"/>
      <c r="Y6" s="11"/>
      <c r="Z6" s="11"/>
    </row>
    <row r="7" spans="1:31" ht="45" customHeight="1">
      <c r="E7" s="153" t="s">
        <v>92</v>
      </c>
      <c r="F7" s="23" t="s">
        <v>93</v>
      </c>
      <c r="G7" s="23" t="s">
        <v>94</v>
      </c>
      <c r="H7" s="14" t="s">
        <v>95</v>
      </c>
      <c r="I7" s="23" t="s">
        <v>96</v>
      </c>
      <c r="J7" s="14" t="s">
        <v>97</v>
      </c>
      <c r="K7" s="14" t="s">
        <v>98</v>
      </c>
      <c r="L7" s="24"/>
      <c r="M7" s="14" t="s">
        <v>99</v>
      </c>
      <c r="N7" s="14" t="s">
        <v>100</v>
      </c>
      <c r="O7" s="14" t="s">
        <v>101</v>
      </c>
      <c r="P7" s="14" t="s">
        <v>102</v>
      </c>
      <c r="Q7" s="178" t="s">
        <v>103</v>
      </c>
      <c r="R7" s="10"/>
      <c r="S7" s="204" t="s">
        <v>104</v>
      </c>
      <c r="T7" s="297" t="s">
        <v>105</v>
      </c>
      <c r="U7" s="297" t="s">
        <v>106</v>
      </c>
      <c r="V7" s="297" t="s">
        <v>107</v>
      </c>
      <c r="W7" s="204" t="s">
        <v>108</v>
      </c>
      <c r="X7" s="297" t="s">
        <v>105</v>
      </c>
      <c r="Y7" s="297" t="s">
        <v>106</v>
      </c>
      <c r="Z7" s="297" t="s">
        <v>109</v>
      </c>
    </row>
    <row r="8" spans="1:31" ht="45" customHeight="1">
      <c r="E8" s="26"/>
      <c r="F8" s="25" t="s">
        <v>110</v>
      </c>
      <c r="G8" s="26"/>
      <c r="H8" s="27"/>
      <c r="I8" s="26"/>
      <c r="J8" s="27">
        <v>15</v>
      </c>
      <c r="K8" s="27"/>
      <c r="L8" s="24"/>
      <c r="M8" s="14"/>
      <c r="N8" s="14"/>
      <c r="O8" s="14"/>
      <c r="P8" s="14"/>
      <c r="Q8" s="178"/>
      <c r="R8" s="10"/>
      <c r="S8" s="204"/>
      <c r="T8" s="298"/>
      <c r="U8" s="299"/>
      <c r="V8" s="298" t="s">
        <v>111</v>
      </c>
      <c r="W8" s="204"/>
      <c r="X8" s="298"/>
      <c r="Y8" s="299"/>
      <c r="Z8" s="298" t="s">
        <v>111</v>
      </c>
      <c r="AC8" s="107"/>
      <c r="AD8" s="107"/>
      <c r="AE8" s="105"/>
    </row>
    <row r="9" spans="1:31" ht="45" customHeight="1">
      <c r="E9" s="28"/>
      <c r="F9" s="184" t="s">
        <v>33</v>
      </c>
      <c r="G9" s="268" t="s">
        <v>112</v>
      </c>
      <c r="H9" s="276">
        <v>1</v>
      </c>
      <c r="I9" s="268" t="s">
        <v>33</v>
      </c>
      <c r="J9" s="29">
        <v>1</v>
      </c>
      <c r="K9" s="30"/>
      <c r="L9" s="24"/>
      <c r="M9" s="32" t="str">
        <f>IF(OR(Q9=$AC$11,Q9=$AC$12, Q9=$AC$13),K9,"")</f>
        <v/>
      </c>
      <c r="N9" s="32" t="str">
        <f>IF(Q9=AC14,K9,"")</f>
        <v/>
      </c>
      <c r="O9" s="32"/>
      <c r="P9" s="32"/>
      <c r="Q9" s="193"/>
      <c r="R9" s="135"/>
      <c r="S9" s="290"/>
      <c r="T9" s="255"/>
      <c r="U9" s="256"/>
      <c r="V9" s="256"/>
      <c r="W9" s="290"/>
      <c r="X9" s="255"/>
      <c r="Y9" s="256"/>
      <c r="Z9" s="256"/>
      <c r="AC9" s="107"/>
      <c r="AD9" s="107"/>
      <c r="AE9" s="105"/>
    </row>
    <row r="10" spans="1:31" ht="45" customHeight="1">
      <c r="E10" s="28"/>
      <c r="F10" s="356" t="s">
        <v>113</v>
      </c>
      <c r="G10" s="359" t="s">
        <v>114</v>
      </c>
      <c r="H10" s="34">
        <v>2.1</v>
      </c>
      <c r="I10" s="38" t="s">
        <v>115</v>
      </c>
      <c r="J10" s="127">
        <v>2</v>
      </c>
      <c r="K10" s="30"/>
      <c r="L10" s="24" t="str">
        <f>IF($K$10&lt;&gt;2,"CR","")</f>
        <v>CR</v>
      </c>
      <c r="M10" s="32" t="str">
        <f>IF(OR(Q10=$AC$11,Q10=AC13),K10,"")</f>
        <v/>
      </c>
      <c r="N10" s="32" t="str">
        <f>IF(Q10=AC14,K10,"")</f>
        <v/>
      </c>
      <c r="O10" s="32"/>
      <c r="P10" s="32"/>
      <c r="Q10" s="193"/>
      <c r="R10" s="135"/>
      <c r="S10" s="290"/>
      <c r="T10" s="255"/>
      <c r="U10" s="256"/>
      <c r="V10" s="256"/>
      <c r="W10" s="290"/>
      <c r="X10" s="255"/>
      <c r="Y10" s="256"/>
      <c r="Z10" s="256"/>
      <c r="AA10" s="116" t="s">
        <v>116</v>
      </c>
      <c r="AB10" s="116"/>
      <c r="AC10" s="107"/>
      <c r="AD10" s="107" t="s">
        <v>117</v>
      </c>
      <c r="AE10" s="105"/>
    </row>
    <row r="11" spans="1:31" ht="45" customHeight="1">
      <c r="E11" s="28"/>
      <c r="F11" s="357"/>
      <c r="G11" s="360"/>
      <c r="H11" s="37">
        <v>2.2000000000000002</v>
      </c>
      <c r="I11" s="38" t="s">
        <v>118</v>
      </c>
      <c r="J11" s="39">
        <v>1</v>
      </c>
      <c r="K11" s="30"/>
      <c r="L11" s="24" t="str">
        <f>IF(AND(K11&gt;0,$K$10&lt;&gt;2),"!","")</f>
        <v/>
      </c>
      <c r="M11" s="32" t="str">
        <f>IF(OR(Q11=$AC$11,Q11=AC13),K11,"")</f>
        <v/>
      </c>
      <c r="N11" s="32" t="str">
        <f>IF(Q11=AC14,K11,"")</f>
        <v/>
      </c>
      <c r="O11" s="32"/>
      <c r="P11" s="32"/>
      <c r="Q11" s="193"/>
      <c r="R11" s="135"/>
      <c r="S11" s="290"/>
      <c r="T11" s="255"/>
      <c r="U11" s="256"/>
      <c r="V11" s="256"/>
      <c r="W11" s="290"/>
      <c r="X11" s="255"/>
      <c r="Y11" s="256"/>
      <c r="Z11" s="256"/>
      <c r="AA11" s="116" t="s">
        <v>119</v>
      </c>
      <c r="AB11" s="116" t="s">
        <v>120</v>
      </c>
      <c r="AC11" s="107" t="s">
        <v>121</v>
      </c>
      <c r="AD11" s="107" t="s">
        <v>122</v>
      </c>
      <c r="AE11" s="105"/>
    </row>
    <row r="12" spans="1:31" ht="45" customHeight="1">
      <c r="E12" s="28"/>
      <c r="F12" s="358"/>
      <c r="G12" s="361"/>
      <c r="H12" s="37">
        <v>2.2999999999999998</v>
      </c>
      <c r="I12" s="38" t="s">
        <v>123</v>
      </c>
      <c r="J12" s="39">
        <v>1</v>
      </c>
      <c r="K12" s="30"/>
      <c r="L12" s="24" t="str">
        <f>IF(AND(K12&gt;0,$K$10&lt;&gt;2),"!","")</f>
        <v/>
      </c>
      <c r="M12" s="32" t="str">
        <f>IF(OR(Q12=$AC$11,Q12=AC13),K12,"")</f>
        <v/>
      </c>
      <c r="N12" s="32" t="str">
        <f>IF(Q12=AC14,K12,"")</f>
        <v/>
      </c>
      <c r="O12" s="32"/>
      <c r="P12" s="32"/>
      <c r="Q12" s="193"/>
      <c r="R12" s="135"/>
      <c r="S12" s="290"/>
      <c r="T12" s="255"/>
      <c r="U12" s="256"/>
      <c r="V12" s="256"/>
      <c r="W12" s="290"/>
      <c r="X12" s="255"/>
      <c r="Y12" s="256"/>
      <c r="Z12" s="256"/>
      <c r="AB12" s="116" t="s">
        <v>124</v>
      </c>
      <c r="AC12" s="105" t="s">
        <v>125</v>
      </c>
      <c r="AD12" s="105"/>
      <c r="AE12" s="105"/>
    </row>
    <row r="13" spans="1:31" ht="45" customHeight="1">
      <c r="E13" s="28"/>
      <c r="F13" s="356" t="s">
        <v>126</v>
      </c>
      <c r="G13" s="362" t="s">
        <v>127</v>
      </c>
      <c r="H13" s="28">
        <v>3.1</v>
      </c>
      <c r="I13" s="268" t="s">
        <v>128</v>
      </c>
      <c r="J13" s="196" t="s">
        <v>115</v>
      </c>
      <c r="K13" s="30"/>
      <c r="L13" s="24" t="str">
        <f>IF($K$13=0,"CR","")</f>
        <v>CR</v>
      </c>
      <c r="M13" s="32" t="str">
        <f>IF(OR(Q13=$AC$11,Q13=AC13),K13,"")</f>
        <v/>
      </c>
      <c r="N13" s="32" t="str">
        <f>IF(Q13=AC14,K13,"")</f>
        <v/>
      </c>
      <c r="O13" s="32"/>
      <c r="P13" s="32"/>
      <c r="Q13" s="193"/>
      <c r="R13" s="135"/>
      <c r="S13" s="290"/>
      <c r="T13" s="255"/>
      <c r="U13" s="256"/>
      <c r="V13" s="256"/>
      <c r="W13" s="290"/>
      <c r="X13" s="255"/>
      <c r="Y13" s="256"/>
      <c r="Z13" s="256"/>
      <c r="AB13" s="11" t="s">
        <v>129</v>
      </c>
      <c r="AC13" s="107" t="s">
        <v>130</v>
      </c>
      <c r="AD13" s="105"/>
      <c r="AE13" s="105"/>
    </row>
    <row r="14" spans="1:31" ht="45" customHeight="1">
      <c r="E14" s="28"/>
      <c r="F14" s="357"/>
      <c r="G14" s="363"/>
      <c r="H14" s="28">
        <v>3.2</v>
      </c>
      <c r="I14" s="268" t="s">
        <v>131</v>
      </c>
      <c r="J14" s="196">
        <v>2</v>
      </c>
      <c r="K14" s="30"/>
      <c r="L14" s="24" t="str">
        <f>IF(AND(K14&gt;0,$K$13&lt;&gt;$AD$10),"!","")</f>
        <v/>
      </c>
      <c r="M14" s="32" t="str">
        <f>IF(OR(Q14=$AC$11,Q14=AC13),K14,"")</f>
        <v/>
      </c>
      <c r="N14" s="32" t="str">
        <f>IF(Q14=AC14,K14,"")</f>
        <v/>
      </c>
      <c r="O14" s="32"/>
      <c r="P14" s="32"/>
      <c r="Q14" s="193"/>
      <c r="R14" s="135"/>
      <c r="S14" s="290"/>
      <c r="T14" s="255"/>
      <c r="U14" s="256"/>
      <c r="V14" s="256"/>
      <c r="W14" s="290"/>
      <c r="X14" s="255"/>
      <c r="Y14" s="256"/>
      <c r="Z14" s="256"/>
      <c r="AC14" s="105" t="s">
        <v>132</v>
      </c>
      <c r="AD14" s="105"/>
      <c r="AE14" s="105"/>
    </row>
    <row r="15" spans="1:31" ht="45" customHeight="1">
      <c r="E15" s="28"/>
      <c r="F15" s="358"/>
      <c r="G15" s="364"/>
      <c r="H15" s="28">
        <v>3.3</v>
      </c>
      <c r="I15" s="268" t="s">
        <v>133</v>
      </c>
      <c r="J15" s="29">
        <v>1</v>
      </c>
      <c r="K15" s="30"/>
      <c r="L15" s="24" t="str">
        <f>IF(AND(K15&gt;0,$K$13&lt;&gt;$AD$10),"!","")</f>
        <v/>
      </c>
      <c r="M15" s="32" t="str">
        <f>IF(OR(Q15=$AC$11,Q15=AC13),K15,"")</f>
        <v/>
      </c>
      <c r="N15" s="32" t="str">
        <f>IF(Q15=AC14,K15,"")</f>
        <v/>
      </c>
      <c r="O15" s="32"/>
      <c r="P15" s="32"/>
      <c r="Q15" s="193"/>
      <c r="R15" s="135"/>
      <c r="S15" s="290"/>
      <c r="T15" s="255"/>
      <c r="U15" s="256"/>
      <c r="V15" s="256"/>
      <c r="W15" s="290"/>
      <c r="X15" s="255"/>
      <c r="Y15" s="256"/>
      <c r="Z15" s="256"/>
      <c r="AA15" s="296" t="s">
        <v>134</v>
      </c>
      <c r="AC15" s="105"/>
      <c r="AD15" s="105"/>
      <c r="AE15" s="105"/>
    </row>
    <row r="16" spans="1:31" ht="87" customHeight="1">
      <c r="E16" s="28"/>
      <c r="F16" s="184" t="s">
        <v>135</v>
      </c>
      <c r="G16" s="265" t="s">
        <v>136</v>
      </c>
      <c r="H16" s="276">
        <v>4.0999999999999996</v>
      </c>
      <c r="I16" s="268" t="s">
        <v>135</v>
      </c>
      <c r="J16" s="29">
        <v>1</v>
      </c>
      <c r="K16" s="30"/>
      <c r="L16" s="24"/>
      <c r="M16" s="32" t="str">
        <f>IF(OR(Q16=$AC$11,Q16=AC13),K16,"")</f>
        <v/>
      </c>
      <c r="N16" s="32" t="str">
        <f>IF(Q16=AC14,K16,"")</f>
        <v/>
      </c>
      <c r="O16" s="32"/>
      <c r="P16" s="32"/>
      <c r="Q16" s="193"/>
      <c r="R16" s="135"/>
      <c r="S16" s="290"/>
      <c r="T16" s="255"/>
      <c r="U16" s="256"/>
      <c r="V16" s="256"/>
      <c r="W16" s="290"/>
      <c r="X16" s="255"/>
      <c r="Y16" s="256"/>
      <c r="Z16" s="256"/>
      <c r="AA16" s="296">
        <v>1</v>
      </c>
      <c r="AC16" s="105"/>
      <c r="AD16" s="105"/>
      <c r="AE16" s="105"/>
    </row>
    <row r="17" spans="1:31" ht="45" customHeight="1">
      <c r="E17" s="28"/>
      <c r="F17" s="356" t="s">
        <v>137</v>
      </c>
      <c r="G17" s="362" t="s">
        <v>138</v>
      </c>
      <c r="H17" s="28">
        <v>5.0999999999999996</v>
      </c>
      <c r="I17" s="268" t="s">
        <v>139</v>
      </c>
      <c r="J17" s="29">
        <v>1</v>
      </c>
      <c r="K17" s="30"/>
      <c r="L17" s="24"/>
      <c r="M17" s="32" t="str">
        <f>IF(OR(Q17=$AC$11,Q17=AC13),K17,"")</f>
        <v/>
      </c>
      <c r="N17" s="32" t="str">
        <f>IF(Q17=AC14,K17,"")</f>
        <v/>
      </c>
      <c r="O17" s="32"/>
      <c r="P17" s="32"/>
      <c r="Q17" s="193"/>
      <c r="R17" s="135"/>
      <c r="S17" s="290"/>
      <c r="T17" s="255"/>
      <c r="U17" s="256"/>
      <c r="V17" s="256"/>
      <c r="W17" s="290"/>
      <c r="X17" s="255"/>
      <c r="Y17" s="256"/>
      <c r="Z17" s="256"/>
      <c r="AA17" s="296">
        <v>2</v>
      </c>
      <c r="AC17" s="105"/>
      <c r="AD17" s="105"/>
      <c r="AE17" s="105"/>
    </row>
    <row r="18" spans="1:31" ht="45" customHeight="1">
      <c r="E18" s="28"/>
      <c r="F18" s="358"/>
      <c r="G18" s="364"/>
      <c r="H18" s="28">
        <v>5.2</v>
      </c>
      <c r="I18" s="268" t="s">
        <v>140</v>
      </c>
      <c r="J18" s="29">
        <v>1</v>
      </c>
      <c r="K18" s="30"/>
      <c r="L18" s="24"/>
      <c r="M18" s="32" t="str">
        <f>IF(OR(Q18=$AC$11,Q18=AC13),K18,"")</f>
        <v/>
      </c>
      <c r="N18" s="32" t="str">
        <f>IF(Q18=AC14,K18,"")</f>
        <v/>
      </c>
      <c r="O18" s="32"/>
      <c r="P18" s="32"/>
      <c r="Q18" s="193"/>
      <c r="R18" s="135"/>
      <c r="S18" s="290"/>
      <c r="T18" s="255"/>
      <c r="U18" s="256"/>
      <c r="V18" s="256"/>
      <c r="W18" s="290"/>
      <c r="X18" s="255"/>
      <c r="Y18" s="256"/>
      <c r="Z18" s="256"/>
      <c r="AA18" s="296">
        <v>3</v>
      </c>
      <c r="AC18" s="105"/>
      <c r="AD18" s="105"/>
      <c r="AE18" s="105"/>
    </row>
    <row r="19" spans="1:31" ht="45" customHeight="1">
      <c r="E19" s="28"/>
      <c r="F19" s="356" t="s">
        <v>141</v>
      </c>
      <c r="G19" s="362" t="s">
        <v>142</v>
      </c>
      <c r="H19" s="28">
        <v>6.1</v>
      </c>
      <c r="I19" s="268" t="s">
        <v>143</v>
      </c>
      <c r="J19" s="196" t="s">
        <v>144</v>
      </c>
      <c r="K19" s="30"/>
      <c r="L19" s="24"/>
      <c r="M19" s="32" t="str">
        <f>IF(OR(Q19=$AC$11,Q19=AC13),K19,"")</f>
        <v/>
      </c>
      <c r="N19" s="32" t="str">
        <f>IF(Q19=AC14,K19,"")</f>
        <v/>
      </c>
      <c r="O19" s="32"/>
      <c r="P19" s="32"/>
      <c r="Q19" s="193"/>
      <c r="R19" s="135"/>
      <c r="S19" s="290"/>
      <c r="T19" s="255"/>
      <c r="U19" s="256"/>
      <c r="V19" s="256"/>
      <c r="W19" s="290"/>
      <c r="X19" s="255"/>
      <c r="Y19" s="256"/>
      <c r="Z19" s="256"/>
      <c r="AC19" s="105"/>
      <c r="AD19" s="105"/>
      <c r="AE19" s="105"/>
    </row>
    <row r="20" spans="1:31" ht="45" customHeight="1">
      <c r="E20" s="28"/>
      <c r="F20" s="358"/>
      <c r="G20" s="364"/>
      <c r="H20" s="28">
        <v>6.2</v>
      </c>
      <c r="I20" s="268" t="s">
        <v>145</v>
      </c>
      <c r="J20" s="29">
        <v>1</v>
      </c>
      <c r="K20" s="30"/>
      <c r="L20" s="24" t="str">
        <f>IF(AND(K20&gt;0,$K$19&lt;&gt;$AD$10),"!","")</f>
        <v/>
      </c>
      <c r="M20" s="32" t="str">
        <f>IF(OR(Q20=$AC$11,Q20=AC13),K20,"")</f>
        <v/>
      </c>
      <c r="N20" s="32" t="str">
        <f>IF(Q20=AC14,K20,"")</f>
        <v/>
      </c>
      <c r="O20" s="32"/>
      <c r="P20" s="32"/>
      <c r="Q20" s="193"/>
      <c r="R20" s="135"/>
      <c r="S20" s="290"/>
      <c r="T20" s="255"/>
      <c r="U20" s="256"/>
      <c r="V20" s="256"/>
      <c r="W20" s="290"/>
      <c r="X20" s="255"/>
      <c r="Y20" s="256"/>
      <c r="Z20" s="256"/>
      <c r="AC20" s="105"/>
      <c r="AD20" s="105"/>
      <c r="AE20" s="105"/>
    </row>
    <row r="21" spans="1:31" ht="45" customHeight="1">
      <c r="E21" s="28"/>
      <c r="F21" s="356" t="s">
        <v>146</v>
      </c>
      <c r="G21" s="362" t="s">
        <v>147</v>
      </c>
      <c r="H21" s="28">
        <v>7.1</v>
      </c>
      <c r="I21" s="268" t="s">
        <v>148</v>
      </c>
      <c r="J21" s="272" t="s">
        <v>144</v>
      </c>
      <c r="K21" s="30"/>
      <c r="L21" s="24"/>
      <c r="M21" s="32" t="str">
        <f>IF(OR(Q21=$AC$11,Q21=AC13),K21,"")</f>
        <v/>
      </c>
      <c r="N21" s="32" t="str">
        <f>IF(Q21=AC14,K21,"")</f>
        <v/>
      </c>
      <c r="O21" s="32"/>
      <c r="P21" s="32"/>
      <c r="Q21" s="193"/>
      <c r="R21" s="135"/>
      <c r="S21" s="290"/>
      <c r="T21" s="255"/>
      <c r="U21" s="256"/>
      <c r="V21" s="256"/>
      <c r="W21" s="290"/>
      <c r="X21" s="255"/>
      <c r="Y21" s="256"/>
      <c r="Z21" s="256"/>
      <c r="AC21" s="105"/>
      <c r="AD21" s="105"/>
      <c r="AE21" s="105"/>
    </row>
    <row r="22" spans="1:31" ht="45" customHeight="1">
      <c r="C22" s="291"/>
      <c r="E22" s="28"/>
      <c r="F22" s="357"/>
      <c r="G22" s="363"/>
      <c r="H22" s="28">
        <v>7.2</v>
      </c>
      <c r="I22" s="268" t="s">
        <v>149</v>
      </c>
      <c r="J22" s="40">
        <v>1</v>
      </c>
      <c r="K22" s="42"/>
      <c r="L22" s="24" t="str">
        <f>IF(AND(K22&gt;0,$K$21&lt;&gt;$AD$10),"!","")</f>
        <v/>
      </c>
      <c r="M22" s="32" t="str">
        <f>IF(OR(Q22=$AC$11,Q22=AC13),K22,"")</f>
        <v/>
      </c>
      <c r="N22" s="32" t="str">
        <f>IF(Q22=AC14,K22,"")</f>
        <v/>
      </c>
      <c r="O22" s="32"/>
      <c r="P22" s="32"/>
      <c r="Q22" s="193"/>
      <c r="R22" s="135"/>
      <c r="S22" s="290"/>
      <c r="T22" s="255"/>
      <c r="U22" s="256"/>
      <c r="V22" s="256"/>
      <c r="W22" s="290"/>
      <c r="X22" s="255"/>
      <c r="Y22" s="256"/>
      <c r="Z22" s="256"/>
      <c r="AC22" s="105"/>
      <c r="AD22" s="105"/>
      <c r="AE22" s="105"/>
    </row>
    <row r="23" spans="1:31" ht="45" customHeight="1">
      <c r="E23" s="28"/>
      <c r="F23" s="358"/>
      <c r="G23" s="364"/>
      <c r="H23" s="28">
        <v>7.3</v>
      </c>
      <c r="I23" s="268" t="s">
        <v>150</v>
      </c>
      <c r="J23" s="40">
        <v>1</v>
      </c>
      <c r="K23" s="42"/>
      <c r="L23" s="24" t="str">
        <f>IF(AND(K23&gt;0,$K$21&lt;&gt;$AD$10),"!","")</f>
        <v/>
      </c>
      <c r="M23" s="32" t="str">
        <f>IF(OR(Q23=$AC$11,Q23=AC13),K23,"")</f>
        <v/>
      </c>
      <c r="N23" s="32" t="str">
        <f>IF(Q23=AC14,K23,"")</f>
        <v/>
      </c>
      <c r="O23" s="32"/>
      <c r="P23" s="32"/>
      <c r="Q23" s="193"/>
      <c r="R23" s="135"/>
      <c r="S23" s="290"/>
      <c r="T23" s="255"/>
      <c r="U23" s="256"/>
      <c r="V23" s="256"/>
      <c r="W23" s="290"/>
      <c r="X23" s="255"/>
      <c r="Y23" s="256"/>
      <c r="Z23" s="256"/>
      <c r="AC23" s="105"/>
      <c r="AD23" s="105"/>
      <c r="AE23" s="105"/>
    </row>
    <row r="24" spans="1:31" ht="45" customHeight="1">
      <c r="C24" s="291"/>
      <c r="E24" s="28"/>
      <c r="F24" s="367" t="s">
        <v>151</v>
      </c>
      <c r="G24" s="369" t="s">
        <v>116</v>
      </c>
      <c r="H24" s="28" t="s">
        <v>152</v>
      </c>
      <c r="I24" s="268" t="s">
        <v>153</v>
      </c>
      <c r="J24" s="40">
        <f>IF(G24=AA10,1,"0")</f>
        <v>1</v>
      </c>
      <c r="K24" s="42"/>
      <c r="L24" s="24" t="str">
        <f>IF(AND(K24&gt;0,G24="Prescriptive Pathway"),"!","")</f>
        <v/>
      </c>
      <c r="M24" s="32" t="str">
        <f>IF(OR(Q24=$AC$11,Q24=AC13),K24,"")</f>
        <v/>
      </c>
      <c r="N24" s="32" t="str">
        <f>IF(Q24=AC14,K24,"")</f>
        <v/>
      </c>
      <c r="O24" s="32"/>
      <c r="P24" s="32"/>
      <c r="Q24" s="193"/>
      <c r="R24" s="135"/>
      <c r="S24" s="290"/>
      <c r="T24" s="255"/>
      <c r="U24" s="256"/>
      <c r="V24" s="256"/>
      <c r="W24" s="290"/>
      <c r="X24" s="255"/>
      <c r="Y24" s="256"/>
      <c r="Z24" s="256"/>
      <c r="AA24" s="9" t="s">
        <v>116</v>
      </c>
      <c r="AC24" s="105"/>
      <c r="AD24" s="105"/>
      <c r="AE24" s="105"/>
    </row>
    <row r="25" spans="1:31" ht="45" customHeight="1">
      <c r="C25" s="291"/>
      <c r="E25" s="28"/>
      <c r="F25" s="368"/>
      <c r="G25" s="370"/>
      <c r="H25" s="28" t="s">
        <v>154</v>
      </c>
      <c r="I25" s="268" t="s">
        <v>155</v>
      </c>
      <c r="J25" s="40" t="str">
        <f>IF(G24=AA11,1,"0")</f>
        <v>0</v>
      </c>
      <c r="K25" s="42"/>
      <c r="L25" s="24" t="str">
        <f>IF(AND(K25&gt;0,G24="Performance Pathway"),"!","")</f>
        <v/>
      </c>
      <c r="M25" s="32" t="str">
        <f>IF(OR(Q25=$AC$11,Q25=AC13),K25,"")</f>
        <v/>
      </c>
      <c r="N25" s="32" t="str">
        <f>IF(Q25=AC14,K25,"")</f>
        <v/>
      </c>
      <c r="O25" s="32"/>
      <c r="P25" s="32"/>
      <c r="Q25" s="193"/>
      <c r="R25" s="135"/>
      <c r="S25" s="290"/>
      <c r="T25" s="255"/>
      <c r="U25" s="256"/>
      <c r="V25" s="256"/>
      <c r="W25" s="290"/>
      <c r="X25" s="255"/>
      <c r="Y25" s="256"/>
      <c r="Z25" s="256"/>
      <c r="AA25" s="11" t="s">
        <v>156</v>
      </c>
    </row>
    <row r="26" spans="1:31" ht="37.5" customHeight="1">
      <c r="E26" s="44"/>
      <c r="F26" s="44" t="s">
        <v>27</v>
      </c>
      <c r="G26" s="44"/>
      <c r="H26" s="45"/>
      <c r="I26" s="44"/>
      <c r="J26" s="45">
        <f>SUM(J9:J25)</f>
        <v>15</v>
      </c>
      <c r="K26" s="45">
        <f>SUM(K9:K25)</f>
        <v>0</v>
      </c>
      <c r="L26" s="24" t="str">
        <f>IF(K26&gt;J26,"!","")</f>
        <v/>
      </c>
      <c r="M26" s="46">
        <f>SUM(M9:M25)</f>
        <v>0</v>
      </c>
      <c r="N26" s="46">
        <f>SUM(N9:N25)</f>
        <v>0</v>
      </c>
      <c r="O26" s="47"/>
      <c r="P26" s="47"/>
      <c r="Q26" s="181"/>
      <c r="R26" s="8"/>
      <c r="S26" s="232"/>
      <c r="T26" s="9"/>
      <c r="U26" s="232"/>
      <c r="V26" s="232"/>
      <c r="W26" s="232"/>
      <c r="X26" s="9"/>
      <c r="Y26" s="232"/>
      <c r="Z26" s="232"/>
    </row>
    <row r="27" spans="1:31" ht="45" customHeight="1">
      <c r="F27" s="48"/>
      <c r="G27" s="48"/>
      <c r="H27" s="50"/>
      <c r="I27" s="51"/>
      <c r="J27" s="52"/>
      <c r="K27" s="52"/>
      <c r="L27" s="24"/>
      <c r="M27" s="52"/>
      <c r="Q27" s="194"/>
      <c r="R27" s="33"/>
      <c r="T27" s="9"/>
      <c r="U27" s="258"/>
      <c r="V27" s="258"/>
      <c r="X27" s="9"/>
      <c r="Y27" s="258"/>
      <c r="Z27" s="258"/>
    </row>
    <row r="28" spans="1:31" ht="45" customHeight="1">
      <c r="E28" s="26"/>
      <c r="F28" s="371" t="s">
        <v>157</v>
      </c>
      <c r="G28" s="371"/>
      <c r="H28" s="371"/>
      <c r="I28" s="371"/>
      <c r="J28" s="165">
        <v>17</v>
      </c>
      <c r="K28" s="54"/>
      <c r="L28" s="24"/>
      <c r="M28" s="165"/>
      <c r="N28" s="165"/>
      <c r="O28" s="165"/>
      <c r="P28" s="165"/>
      <c r="Q28" s="182"/>
      <c r="R28" s="55"/>
      <c r="S28" s="233"/>
      <c r="T28" s="243"/>
      <c r="U28" s="233"/>
      <c r="V28" s="233"/>
      <c r="W28" s="233"/>
      <c r="X28" s="243"/>
      <c r="Y28" s="233"/>
      <c r="Z28" s="233"/>
    </row>
    <row r="29" spans="1:31" ht="45" customHeight="1">
      <c r="A29" s="152">
        <v>1</v>
      </c>
      <c r="B29" s="152">
        <f>IF(C29=TRUE,A29,0)</f>
        <v>0</v>
      </c>
      <c r="C29" s="152" t="b">
        <v>0</v>
      </c>
      <c r="E29" s="28"/>
      <c r="F29" s="365" t="s">
        <v>158</v>
      </c>
      <c r="G29" s="366" t="s">
        <v>159</v>
      </c>
      <c r="H29" s="28">
        <v>9.1</v>
      </c>
      <c r="I29" s="57" t="s">
        <v>160</v>
      </c>
      <c r="J29" s="58">
        <f t="shared" ref="J29:J34" si="0">IF(OR(C29=FALSE,Q29=$AC$14),A29,0)</f>
        <v>1</v>
      </c>
      <c r="K29" s="59"/>
      <c r="L29" s="24" t="str">
        <f>IF(K29&gt;J29,"!","")</f>
        <v/>
      </c>
      <c r="M29" s="32" t="str">
        <f>IF(OR(Q29=$AC$11,Q29=$AC$12, Q29=$AC$13),K29,"")</f>
        <v/>
      </c>
      <c r="N29" s="32" t="str">
        <f>IF(Q29=AC14,K29,"")</f>
        <v/>
      </c>
      <c r="O29" s="32"/>
      <c r="P29" s="32"/>
      <c r="Q29" s="193"/>
      <c r="R29" s="135"/>
      <c r="S29" s="290"/>
      <c r="T29" s="255"/>
      <c r="U29" s="256"/>
      <c r="V29" s="256"/>
      <c r="W29" s="290"/>
      <c r="X29" s="255"/>
      <c r="Y29" s="256"/>
      <c r="Z29" s="256"/>
    </row>
    <row r="30" spans="1:31" ht="45" customHeight="1">
      <c r="A30" s="152">
        <v>2</v>
      </c>
      <c r="B30" s="152">
        <f t="shared" ref="B30:B45" si="1">IF(C30=TRUE,A30,0)</f>
        <v>0</v>
      </c>
      <c r="C30" s="152" t="b">
        <v>0</v>
      </c>
      <c r="E30" s="28"/>
      <c r="F30" s="365"/>
      <c r="G30" s="366"/>
      <c r="H30" s="28">
        <v>9.1999999999999993</v>
      </c>
      <c r="I30" s="57" t="s">
        <v>161</v>
      </c>
      <c r="J30" s="58">
        <f t="shared" si="0"/>
        <v>2</v>
      </c>
      <c r="K30" s="59"/>
      <c r="L30" s="24" t="str">
        <f t="shared" ref="L30:L34" si="2">IF(K30&gt;J30,"!","")</f>
        <v/>
      </c>
      <c r="M30" s="32" t="str">
        <f t="shared" ref="M30:M45" si="3">IF(OR(Q30=$AC$11,Q30=$AC$12, Q30=$AC$13),K30,"")</f>
        <v/>
      </c>
      <c r="N30" s="32" t="str">
        <f>IF(Q30=AC14,K30,"")</f>
        <v/>
      </c>
      <c r="O30" s="32"/>
      <c r="P30" s="32"/>
      <c r="Q30" s="193"/>
      <c r="R30" s="135"/>
      <c r="S30" s="290"/>
      <c r="T30" s="255"/>
      <c r="U30" s="256"/>
      <c r="V30" s="256"/>
      <c r="W30" s="290"/>
      <c r="X30" s="255"/>
      <c r="Y30" s="256"/>
      <c r="Z30" s="256"/>
    </row>
    <row r="31" spans="1:31" ht="45" customHeight="1">
      <c r="A31" s="152">
        <v>1</v>
      </c>
      <c r="B31" s="152">
        <f t="shared" si="1"/>
        <v>0</v>
      </c>
      <c r="C31" s="152" t="b">
        <v>0</v>
      </c>
      <c r="E31" s="28"/>
      <c r="F31" s="365"/>
      <c r="G31" s="366"/>
      <c r="H31" s="28">
        <v>9.3000000000000007</v>
      </c>
      <c r="I31" s="57" t="s">
        <v>162</v>
      </c>
      <c r="J31" s="58">
        <f t="shared" si="0"/>
        <v>1</v>
      </c>
      <c r="K31" s="59"/>
      <c r="L31" s="24" t="str">
        <f t="shared" si="2"/>
        <v/>
      </c>
      <c r="M31" s="32" t="str">
        <f t="shared" si="3"/>
        <v/>
      </c>
      <c r="N31" s="32" t="str">
        <f>IF(Q31=AC14,K31,"")</f>
        <v/>
      </c>
      <c r="O31" s="32"/>
      <c r="P31" s="32"/>
      <c r="Q31" s="193"/>
      <c r="R31" s="135"/>
      <c r="S31" s="290"/>
      <c r="T31" s="255"/>
      <c r="U31" s="256"/>
      <c r="V31" s="256"/>
      <c r="W31" s="290"/>
      <c r="X31" s="255"/>
      <c r="Y31" s="256"/>
      <c r="Z31" s="256"/>
    </row>
    <row r="32" spans="1:31" ht="45" customHeight="1">
      <c r="A32" s="152">
        <v>1</v>
      </c>
      <c r="B32" s="152">
        <f t="shared" si="1"/>
        <v>0</v>
      </c>
      <c r="C32" s="152" t="b">
        <v>0</v>
      </c>
      <c r="E32" s="28"/>
      <c r="F32" s="365" t="s">
        <v>163</v>
      </c>
      <c r="G32" s="366" t="s">
        <v>164</v>
      </c>
      <c r="H32" s="28">
        <v>10.1</v>
      </c>
      <c r="I32" s="57" t="s">
        <v>165</v>
      </c>
      <c r="J32" s="58">
        <f t="shared" si="0"/>
        <v>1</v>
      </c>
      <c r="K32" s="59"/>
      <c r="L32" s="24" t="str">
        <f t="shared" si="2"/>
        <v/>
      </c>
      <c r="M32" s="32" t="str">
        <f t="shared" si="3"/>
        <v/>
      </c>
      <c r="N32" s="32" t="str">
        <f>IF(Q32=AC14,K32,"")</f>
        <v/>
      </c>
      <c r="O32" s="32"/>
      <c r="P32" s="32"/>
      <c r="Q32" s="193"/>
      <c r="R32" s="135"/>
      <c r="S32" s="290"/>
      <c r="T32" s="255"/>
      <c r="U32" s="256"/>
      <c r="V32" s="256"/>
      <c r="W32" s="290"/>
      <c r="X32" s="255"/>
      <c r="Y32" s="256"/>
      <c r="Z32" s="256"/>
    </row>
    <row r="33" spans="1:26" ht="45" customHeight="1">
      <c r="A33" s="152">
        <v>1</v>
      </c>
      <c r="B33" s="152">
        <f t="shared" si="1"/>
        <v>0</v>
      </c>
      <c r="C33" s="152" t="b">
        <v>0</v>
      </c>
      <c r="E33" s="28"/>
      <c r="F33" s="365"/>
      <c r="G33" s="366"/>
      <c r="H33" s="28">
        <v>10.199999999999999</v>
      </c>
      <c r="I33" s="57" t="s">
        <v>166</v>
      </c>
      <c r="J33" s="58">
        <f t="shared" si="0"/>
        <v>1</v>
      </c>
      <c r="K33" s="59"/>
      <c r="L33" s="24" t="str">
        <f t="shared" si="2"/>
        <v/>
      </c>
      <c r="M33" s="32" t="str">
        <f t="shared" si="3"/>
        <v/>
      </c>
      <c r="N33" s="32" t="str">
        <f>IF(Q33=AC14,K33,"")</f>
        <v/>
      </c>
      <c r="O33" s="32"/>
      <c r="P33" s="32"/>
      <c r="Q33" s="193"/>
      <c r="R33" s="135"/>
      <c r="S33" s="290"/>
      <c r="T33" s="255"/>
      <c r="U33" s="256"/>
      <c r="V33" s="256"/>
      <c r="W33" s="290"/>
      <c r="X33" s="255"/>
      <c r="Y33" s="256"/>
      <c r="Z33" s="256"/>
    </row>
    <row r="34" spans="1:26" ht="45" customHeight="1">
      <c r="A34" s="152">
        <v>1</v>
      </c>
      <c r="B34" s="152">
        <f t="shared" si="1"/>
        <v>0</v>
      </c>
      <c r="C34" s="152" t="b">
        <v>0</v>
      </c>
      <c r="E34" s="28"/>
      <c r="F34" s="365"/>
      <c r="G34" s="366"/>
      <c r="H34" s="28">
        <v>10.3</v>
      </c>
      <c r="I34" s="57" t="s">
        <v>167</v>
      </c>
      <c r="J34" s="58">
        <f t="shared" si="0"/>
        <v>1</v>
      </c>
      <c r="K34" s="59"/>
      <c r="L34" s="24" t="str">
        <f t="shared" si="2"/>
        <v/>
      </c>
      <c r="M34" s="32" t="str">
        <f t="shared" si="3"/>
        <v/>
      </c>
      <c r="N34" s="32" t="str">
        <f>IF(Q34=AC14,K34,"")</f>
        <v/>
      </c>
      <c r="O34" s="32"/>
      <c r="P34" s="32"/>
      <c r="Q34" s="193"/>
      <c r="R34" s="135"/>
      <c r="S34" s="290"/>
      <c r="T34" s="255"/>
      <c r="U34" s="256"/>
      <c r="V34" s="256"/>
      <c r="W34" s="290"/>
      <c r="X34" s="255"/>
      <c r="Y34" s="256"/>
      <c r="Z34" s="256"/>
    </row>
    <row r="35" spans="1:26" ht="45" customHeight="1">
      <c r="E35" s="28"/>
      <c r="F35" s="365" t="s">
        <v>168</v>
      </c>
      <c r="G35" s="366" t="s">
        <v>169</v>
      </c>
      <c r="H35" s="28">
        <v>11.1</v>
      </c>
      <c r="I35" s="57" t="s">
        <v>170</v>
      </c>
      <c r="J35" s="273" t="s">
        <v>144</v>
      </c>
      <c r="K35" s="30"/>
      <c r="L35" s="24"/>
      <c r="M35" s="32" t="str">
        <f t="shared" si="3"/>
        <v/>
      </c>
      <c r="N35" s="32" t="str">
        <f>IF(Q35=AC14,K35,"")</f>
        <v/>
      </c>
      <c r="O35" s="32"/>
      <c r="P35" s="32"/>
      <c r="Q35" s="193"/>
      <c r="R35" s="135"/>
      <c r="S35" s="290"/>
      <c r="T35" s="255"/>
      <c r="U35" s="256"/>
      <c r="V35" s="256"/>
      <c r="W35" s="290"/>
      <c r="X35" s="255"/>
      <c r="Y35" s="256"/>
      <c r="Z35" s="256"/>
    </row>
    <row r="36" spans="1:26" ht="45" customHeight="1">
      <c r="A36" s="152">
        <v>1</v>
      </c>
      <c r="B36" s="152">
        <f t="shared" si="1"/>
        <v>0</v>
      </c>
      <c r="C36" s="152" t="b">
        <v>0</v>
      </c>
      <c r="E36" s="28"/>
      <c r="F36" s="365"/>
      <c r="G36" s="366"/>
      <c r="H36" s="28">
        <v>11.2</v>
      </c>
      <c r="I36" s="57" t="s">
        <v>171</v>
      </c>
      <c r="J36" s="58">
        <f>IF(OR(C36=FALSE,Q36=$AC$14),A36,0)</f>
        <v>1</v>
      </c>
      <c r="K36" s="59"/>
      <c r="L36" s="24" t="str">
        <f>IF(OR(K36&gt;J36,AND(K36&gt;0,$K$35&lt;&gt;$AD$10)),"!","")</f>
        <v/>
      </c>
      <c r="M36" s="32" t="str">
        <f t="shared" si="3"/>
        <v/>
      </c>
      <c r="N36" s="32" t="str">
        <f>IF(Q36=AC14,K36,"")</f>
        <v/>
      </c>
      <c r="O36" s="32"/>
      <c r="P36" s="32"/>
      <c r="Q36" s="193"/>
      <c r="R36" s="135"/>
      <c r="S36" s="290"/>
      <c r="T36" s="255"/>
      <c r="U36" s="256"/>
      <c r="V36" s="256"/>
      <c r="W36" s="290"/>
      <c r="X36" s="255"/>
      <c r="Y36" s="256"/>
      <c r="Z36" s="256"/>
    </row>
    <row r="37" spans="1:26" ht="45" customHeight="1">
      <c r="A37" s="152">
        <v>1</v>
      </c>
      <c r="B37" s="152">
        <f t="shared" si="1"/>
        <v>0</v>
      </c>
      <c r="C37" s="152" t="b">
        <v>0</v>
      </c>
      <c r="E37" s="28"/>
      <c r="F37" s="365"/>
      <c r="G37" s="366"/>
      <c r="H37" s="28">
        <v>11.3</v>
      </c>
      <c r="I37" s="57" t="s">
        <v>172</v>
      </c>
      <c r="J37" s="58">
        <f>IF(OR(C37=FALSE,Q37=$AC$14),A37,0)</f>
        <v>1</v>
      </c>
      <c r="K37" s="59"/>
      <c r="L37" s="24" t="str">
        <f t="shared" ref="L37:L38" si="4">IF(OR(K37&gt;J37,AND(K37&gt;0,$K$35&lt;&gt;$AD$10)),"!","")</f>
        <v/>
      </c>
      <c r="M37" s="32" t="str">
        <f t="shared" si="3"/>
        <v/>
      </c>
      <c r="N37" s="32" t="str">
        <f>IF(Q37=AC14,K37,"")</f>
        <v/>
      </c>
      <c r="O37" s="32"/>
      <c r="P37" s="32"/>
      <c r="Q37" s="193"/>
      <c r="R37" s="135"/>
      <c r="S37" s="290"/>
      <c r="T37" s="255"/>
      <c r="U37" s="256"/>
      <c r="V37" s="256"/>
      <c r="W37" s="290"/>
      <c r="X37" s="255"/>
      <c r="Y37" s="256"/>
      <c r="Z37" s="256"/>
    </row>
    <row r="38" spans="1:26" ht="45" customHeight="1">
      <c r="A38" s="152">
        <v>1</v>
      </c>
      <c r="B38" s="152">
        <f t="shared" si="1"/>
        <v>0</v>
      </c>
      <c r="C38" s="152" t="b">
        <v>0</v>
      </c>
      <c r="E38" s="28"/>
      <c r="F38" s="365"/>
      <c r="G38" s="366"/>
      <c r="H38" s="28">
        <v>11.4</v>
      </c>
      <c r="I38" s="57" t="s">
        <v>173</v>
      </c>
      <c r="J38" s="58">
        <f>IF(OR(C38=FALSE,Q38=$AC$14),A38,0)</f>
        <v>1</v>
      </c>
      <c r="K38" s="59"/>
      <c r="L38" s="24" t="str">
        <f t="shared" si="4"/>
        <v/>
      </c>
      <c r="M38" s="32" t="str">
        <f t="shared" si="3"/>
        <v/>
      </c>
      <c r="N38" s="32" t="str">
        <f>IF(Q38=AC14,K38,"")</f>
        <v/>
      </c>
      <c r="O38" s="32"/>
      <c r="P38" s="32"/>
      <c r="Q38" s="193"/>
      <c r="R38" s="135"/>
      <c r="S38" s="290"/>
      <c r="T38" s="255"/>
      <c r="U38" s="256"/>
      <c r="V38" s="256"/>
      <c r="W38" s="290"/>
      <c r="X38" s="255"/>
      <c r="Y38" s="256"/>
      <c r="Z38" s="256"/>
    </row>
    <row r="39" spans="1:26" ht="45" customHeight="1">
      <c r="E39" s="28"/>
      <c r="F39" s="365" t="s">
        <v>174</v>
      </c>
      <c r="G39" s="366" t="s">
        <v>175</v>
      </c>
      <c r="H39" s="28">
        <v>12.1</v>
      </c>
      <c r="I39" s="57" t="s">
        <v>176</v>
      </c>
      <c r="J39" s="273" t="s">
        <v>144</v>
      </c>
      <c r="K39" s="30"/>
      <c r="L39" s="24"/>
      <c r="M39" s="32" t="str">
        <f t="shared" si="3"/>
        <v/>
      </c>
      <c r="N39" s="32" t="str">
        <f>IF(Q39=AC14,K39,"")</f>
        <v/>
      </c>
      <c r="O39" s="32"/>
      <c r="P39" s="32"/>
      <c r="Q39" s="193"/>
      <c r="R39" s="135"/>
      <c r="S39" s="290"/>
      <c r="T39" s="255"/>
      <c r="U39" s="256"/>
      <c r="V39" s="256"/>
      <c r="W39" s="290"/>
      <c r="X39" s="255"/>
      <c r="Y39" s="256"/>
      <c r="Z39" s="256"/>
    </row>
    <row r="40" spans="1:26" ht="45" customHeight="1">
      <c r="A40" s="152">
        <v>2</v>
      </c>
      <c r="B40" s="152">
        <f t="shared" si="1"/>
        <v>0</v>
      </c>
      <c r="C40" s="152" t="b">
        <v>0</v>
      </c>
      <c r="E40" s="28"/>
      <c r="F40" s="365"/>
      <c r="G40" s="366"/>
      <c r="H40" s="28">
        <v>12.2</v>
      </c>
      <c r="I40" s="57" t="s">
        <v>177</v>
      </c>
      <c r="J40" s="58">
        <f t="shared" ref="J40:J45" si="5">IF(OR(C40=FALSE,Q40=$AC$14),A40,0)</f>
        <v>2</v>
      </c>
      <c r="K40" s="59"/>
      <c r="L40" s="24" t="str">
        <f>IF(OR(K40&gt;J40,AND(K40&gt;0,$K$39&lt;&gt;$AD$10)),"!","")</f>
        <v/>
      </c>
      <c r="M40" s="32" t="str">
        <f t="shared" si="3"/>
        <v/>
      </c>
      <c r="N40" s="32" t="str">
        <f>IF(Q40=AC14,K40,"")</f>
        <v/>
      </c>
      <c r="O40" s="32"/>
      <c r="P40" s="32"/>
      <c r="Q40" s="193"/>
      <c r="R40" s="135"/>
      <c r="S40" s="290"/>
      <c r="T40" s="255"/>
      <c r="U40" s="256"/>
      <c r="V40" s="256"/>
      <c r="W40" s="290"/>
      <c r="X40" s="255"/>
      <c r="Y40" s="256"/>
      <c r="Z40" s="256"/>
    </row>
    <row r="41" spans="1:26" ht="45" customHeight="1">
      <c r="A41" s="152">
        <v>1</v>
      </c>
      <c r="B41" s="152">
        <f t="shared" si="1"/>
        <v>0</v>
      </c>
      <c r="C41" s="152" t="b">
        <v>0</v>
      </c>
      <c r="E41" s="28"/>
      <c r="F41" s="365"/>
      <c r="G41" s="366"/>
      <c r="H41" s="28">
        <v>12.3</v>
      </c>
      <c r="I41" s="57" t="s">
        <v>178</v>
      </c>
      <c r="J41" s="58">
        <f t="shared" si="5"/>
        <v>1</v>
      </c>
      <c r="K41" s="59"/>
      <c r="L41" s="24" t="str">
        <f t="shared" ref="L41" si="6">IF(OR(K41&gt;J41,AND(K41&gt;0,$K$39&lt;&gt;$AD$10)),"!","")</f>
        <v/>
      </c>
      <c r="M41" s="32" t="str">
        <f t="shared" si="3"/>
        <v/>
      </c>
      <c r="N41" s="32" t="str">
        <f>IF(Q41=AC14,K41,"")</f>
        <v/>
      </c>
      <c r="O41" s="32"/>
      <c r="P41" s="32"/>
      <c r="Q41" s="193"/>
      <c r="R41" s="135"/>
      <c r="S41" s="290"/>
      <c r="T41" s="255"/>
      <c r="U41" s="256"/>
      <c r="V41" s="256"/>
      <c r="W41" s="290"/>
      <c r="X41" s="255"/>
      <c r="Y41" s="256"/>
      <c r="Z41" s="256"/>
    </row>
    <row r="42" spans="1:26" ht="45" customHeight="1">
      <c r="A42" s="152">
        <v>1</v>
      </c>
      <c r="B42" s="152">
        <f t="shared" si="1"/>
        <v>0</v>
      </c>
      <c r="C42" s="152" t="b">
        <v>0</v>
      </c>
      <c r="E42" s="28"/>
      <c r="F42" s="365" t="s">
        <v>179</v>
      </c>
      <c r="G42" s="366" t="s">
        <v>180</v>
      </c>
      <c r="H42" s="28">
        <v>13.1</v>
      </c>
      <c r="I42" s="57" t="s">
        <v>181</v>
      </c>
      <c r="J42" s="58">
        <f t="shared" si="5"/>
        <v>1</v>
      </c>
      <c r="K42" s="59"/>
      <c r="L42" s="24" t="str">
        <f t="shared" ref="L42:L45" si="7">IF(K42&gt;J42,"!","")</f>
        <v/>
      </c>
      <c r="M42" s="32" t="str">
        <f t="shared" si="3"/>
        <v/>
      </c>
      <c r="N42" s="32" t="str">
        <f>IF(Q42=AC14,K42,"")</f>
        <v/>
      </c>
      <c r="O42" s="32"/>
      <c r="P42" s="32"/>
      <c r="Q42" s="193"/>
      <c r="R42" s="135"/>
      <c r="S42" s="290"/>
      <c r="T42" s="255"/>
      <c r="U42" s="256"/>
      <c r="V42" s="256"/>
      <c r="W42" s="290"/>
      <c r="X42" s="255"/>
      <c r="Y42" s="256"/>
      <c r="Z42" s="256"/>
    </row>
    <row r="43" spans="1:26" ht="45" customHeight="1">
      <c r="A43" s="152">
        <v>1</v>
      </c>
      <c r="B43" s="152">
        <f t="shared" si="1"/>
        <v>0</v>
      </c>
      <c r="C43" s="152" t="b">
        <v>0</v>
      </c>
      <c r="E43" s="28"/>
      <c r="F43" s="365"/>
      <c r="G43" s="366"/>
      <c r="H43" s="28">
        <v>13.2</v>
      </c>
      <c r="I43" s="57" t="s">
        <v>182</v>
      </c>
      <c r="J43" s="58">
        <f t="shared" si="5"/>
        <v>1</v>
      </c>
      <c r="K43" s="59"/>
      <c r="L43" s="24" t="str">
        <f t="shared" si="7"/>
        <v/>
      </c>
      <c r="M43" s="32" t="str">
        <f t="shared" si="3"/>
        <v/>
      </c>
      <c r="N43" s="32" t="str">
        <f>IF(Q43=AC14,K43,"")</f>
        <v/>
      </c>
      <c r="O43" s="32"/>
      <c r="P43" s="32"/>
      <c r="Q43" s="193"/>
      <c r="R43" s="135"/>
      <c r="S43" s="290"/>
      <c r="T43" s="255"/>
      <c r="U43" s="256"/>
      <c r="V43" s="256"/>
      <c r="W43" s="290"/>
      <c r="X43" s="255"/>
      <c r="Y43" s="256"/>
      <c r="Z43" s="256"/>
    </row>
    <row r="44" spans="1:26" ht="45" customHeight="1">
      <c r="A44" s="152">
        <v>1</v>
      </c>
      <c r="B44" s="152">
        <f t="shared" si="1"/>
        <v>0</v>
      </c>
      <c r="C44" s="152" t="b">
        <v>0</v>
      </c>
      <c r="E44" s="28"/>
      <c r="F44" s="365" t="s">
        <v>183</v>
      </c>
      <c r="G44" s="366" t="s">
        <v>184</v>
      </c>
      <c r="H44" s="28">
        <v>14.1</v>
      </c>
      <c r="I44" s="57" t="s">
        <v>183</v>
      </c>
      <c r="J44" s="58">
        <f t="shared" si="5"/>
        <v>1</v>
      </c>
      <c r="K44" s="59"/>
      <c r="L44" s="24" t="str">
        <f t="shared" si="7"/>
        <v/>
      </c>
      <c r="M44" s="32" t="str">
        <f t="shared" si="3"/>
        <v/>
      </c>
      <c r="N44" s="32" t="str">
        <f>IF(Q44=AC14,K44,"")</f>
        <v/>
      </c>
      <c r="O44" s="32"/>
      <c r="P44" s="32"/>
      <c r="Q44" s="193"/>
      <c r="R44" s="135"/>
      <c r="S44" s="290"/>
      <c r="T44" s="255"/>
      <c r="U44" s="256"/>
      <c r="V44" s="256"/>
      <c r="W44" s="290"/>
      <c r="X44" s="255"/>
      <c r="Y44" s="256"/>
      <c r="Z44" s="256"/>
    </row>
    <row r="45" spans="1:26" ht="45" customHeight="1">
      <c r="A45" s="152">
        <v>1</v>
      </c>
      <c r="B45" s="152">
        <f t="shared" si="1"/>
        <v>0</v>
      </c>
      <c r="C45" s="152" t="b">
        <v>0</v>
      </c>
      <c r="E45" s="28"/>
      <c r="F45" s="372"/>
      <c r="G45" s="362"/>
      <c r="H45" s="28">
        <v>14.2</v>
      </c>
      <c r="I45" s="57" t="s">
        <v>185</v>
      </c>
      <c r="J45" s="58">
        <f t="shared" si="5"/>
        <v>1</v>
      </c>
      <c r="K45" s="59"/>
      <c r="L45" s="24" t="str">
        <f t="shared" si="7"/>
        <v/>
      </c>
      <c r="M45" s="32" t="str">
        <f t="shared" si="3"/>
        <v/>
      </c>
      <c r="N45" s="32" t="str">
        <f>IF(Q45=AC14,K45,"")</f>
        <v/>
      </c>
      <c r="O45" s="32"/>
      <c r="P45" s="32"/>
      <c r="Q45" s="193"/>
      <c r="R45" s="135"/>
      <c r="S45" s="290"/>
      <c r="T45" s="255"/>
      <c r="U45" s="256"/>
      <c r="V45" s="256"/>
      <c r="W45" s="290"/>
      <c r="X45" s="255"/>
      <c r="Y45" s="256"/>
      <c r="Z45" s="256"/>
    </row>
    <row r="46" spans="1:26" ht="45" customHeight="1">
      <c r="E46" s="44"/>
      <c r="F46" s="44" t="s">
        <v>27</v>
      </c>
      <c r="G46" s="44"/>
      <c r="H46" s="45"/>
      <c r="I46" s="44"/>
      <c r="J46" s="45">
        <f>SUM(J29:J45)</f>
        <v>17</v>
      </c>
      <c r="K46" s="45">
        <f>SUM(K29:K45)</f>
        <v>0</v>
      </c>
      <c r="L46" s="24" t="str">
        <f>IF(K46&gt;J46,"!","")</f>
        <v/>
      </c>
      <c r="M46" s="46">
        <f t="shared" ref="M46:N46" si="8">SUM(M29:M45)</f>
        <v>0</v>
      </c>
      <c r="N46" s="46">
        <f t="shared" si="8"/>
        <v>0</v>
      </c>
      <c r="Q46" s="194"/>
      <c r="R46" s="33"/>
      <c r="S46" s="234"/>
      <c r="T46" s="9"/>
      <c r="U46" s="260"/>
      <c r="V46" s="260"/>
      <c r="W46" s="234"/>
      <c r="X46" s="9"/>
      <c r="Y46" s="260"/>
      <c r="Z46" s="260"/>
    </row>
    <row r="47" spans="1:26" ht="45" customHeight="1">
      <c r="F47" s="62"/>
      <c r="G47" s="62"/>
      <c r="H47" s="6"/>
      <c r="I47" s="62"/>
      <c r="J47" s="6"/>
      <c r="K47" s="6"/>
      <c r="L47" s="24"/>
      <c r="M47" s="6"/>
      <c r="N47" s="6"/>
      <c r="O47" s="6"/>
      <c r="P47" s="6"/>
      <c r="Q47" s="195"/>
      <c r="R47" s="33"/>
      <c r="S47" s="234"/>
      <c r="T47" s="9"/>
      <c r="U47" s="260"/>
      <c r="V47" s="260"/>
      <c r="W47" s="234"/>
      <c r="X47" s="9"/>
      <c r="Y47" s="260"/>
      <c r="Z47" s="260"/>
    </row>
    <row r="48" spans="1:26" ht="45" customHeight="1">
      <c r="E48" s="26"/>
      <c r="F48" s="375" t="s">
        <v>186</v>
      </c>
      <c r="G48" s="375"/>
      <c r="H48" s="375"/>
      <c r="I48" s="375"/>
      <c r="J48" s="54">
        <v>20</v>
      </c>
      <c r="K48" s="54"/>
      <c r="L48" s="24"/>
      <c r="M48" s="156"/>
      <c r="N48" s="156"/>
      <c r="O48" s="156"/>
      <c r="P48" s="156"/>
      <c r="Q48" s="182"/>
      <c r="R48" s="174"/>
      <c r="S48" s="235"/>
      <c r="T48" s="243"/>
      <c r="U48" s="235"/>
      <c r="V48" s="235"/>
      <c r="W48" s="235"/>
      <c r="X48" s="243"/>
      <c r="Y48" s="235"/>
      <c r="Z48" s="235"/>
    </row>
    <row r="49" spans="2:27" ht="45" customHeight="1">
      <c r="E49" s="28"/>
      <c r="F49" s="376" t="s">
        <v>187</v>
      </c>
      <c r="G49" s="366" t="s">
        <v>188</v>
      </c>
      <c r="H49" s="159">
        <v>15.1</v>
      </c>
      <c r="I49" s="189" t="s">
        <v>189</v>
      </c>
      <c r="J49" s="274" t="s">
        <v>189</v>
      </c>
      <c r="K49" s="30"/>
      <c r="L49" s="24" t="str">
        <f>IF($K$49=0,"CR","")</f>
        <v>CR</v>
      </c>
      <c r="M49" s="32" t="str">
        <f>IF(OR(Q49=$AC$11, Q49=$AC$12, Q49=$AC$13),K49,"")</f>
        <v/>
      </c>
      <c r="N49" s="32" t="str">
        <f>IF(Q49=AC14,K49,"")</f>
        <v/>
      </c>
      <c r="O49" s="32"/>
      <c r="P49" s="32"/>
      <c r="Q49" s="193"/>
      <c r="R49" s="135"/>
      <c r="S49" s="290"/>
      <c r="T49" s="255"/>
      <c r="U49" s="256"/>
      <c r="V49" s="256"/>
      <c r="W49" s="290"/>
      <c r="X49" s="255"/>
      <c r="Y49" s="256"/>
      <c r="Z49" s="256"/>
    </row>
    <row r="50" spans="2:27" ht="45" customHeight="1">
      <c r="E50" s="28"/>
      <c r="F50" s="377"/>
      <c r="G50" s="362"/>
      <c r="H50" s="159">
        <v>15.2</v>
      </c>
      <c r="I50" s="189" t="s">
        <v>190</v>
      </c>
      <c r="J50" s="113">
        <v>18</v>
      </c>
      <c r="K50" s="87"/>
      <c r="L50" s="24" t="str">
        <f>IF(AND(K50&gt;0,K49&lt;&gt;$AD$10),"!","")</f>
        <v/>
      </c>
      <c r="M50" s="32" t="str">
        <f t="shared" ref="M50:M52" si="9">IF(OR(Q50=$AC$11, Q50=$AC$12, Q50=$AC$13),K50,"")</f>
        <v/>
      </c>
      <c r="N50" s="32" t="str">
        <f>IF(Q50=AC14,K50,"")</f>
        <v/>
      </c>
      <c r="O50" s="32"/>
      <c r="P50" s="32"/>
      <c r="Q50" s="193"/>
      <c r="R50" s="135"/>
      <c r="S50" s="290"/>
      <c r="T50" s="255"/>
      <c r="U50" s="256"/>
      <c r="V50" s="256"/>
      <c r="W50" s="290"/>
      <c r="X50" s="255"/>
      <c r="Y50" s="256"/>
      <c r="Z50" s="256"/>
    </row>
    <row r="51" spans="2:27" ht="45" customHeight="1">
      <c r="E51" s="28"/>
      <c r="F51" s="365" t="s">
        <v>191</v>
      </c>
      <c r="G51" s="373" t="s">
        <v>116</v>
      </c>
      <c r="H51" s="160" t="s">
        <v>192</v>
      </c>
      <c r="I51" s="169" t="s">
        <v>193</v>
      </c>
      <c r="J51" s="109" t="str">
        <f>IF(G51=AA51,1,"0")</f>
        <v>0</v>
      </c>
      <c r="K51" s="87"/>
      <c r="L51" s="24" t="str">
        <f>IF(AND(K51&gt;0,G51="Performance Pathway"),"!","")</f>
        <v/>
      </c>
      <c r="M51" s="32" t="str">
        <f t="shared" si="9"/>
        <v/>
      </c>
      <c r="N51" s="32" t="str">
        <f>IF(Q51=AC14,K51,"")</f>
        <v/>
      </c>
      <c r="O51" s="32"/>
      <c r="P51" s="32"/>
      <c r="Q51" s="193"/>
      <c r="R51" s="135"/>
      <c r="S51" s="290"/>
      <c r="T51" s="255"/>
      <c r="U51" s="256"/>
      <c r="V51" s="256"/>
      <c r="W51" s="290"/>
      <c r="X51" s="255"/>
      <c r="Y51" s="256"/>
      <c r="Z51" s="256"/>
      <c r="AA51" s="9" t="s">
        <v>119</v>
      </c>
    </row>
    <row r="52" spans="2:27" ht="45" customHeight="1">
      <c r="E52" s="28"/>
      <c r="F52" s="372"/>
      <c r="G52" s="374"/>
      <c r="H52" s="161" t="s">
        <v>194</v>
      </c>
      <c r="I52" s="170" t="s">
        <v>195</v>
      </c>
      <c r="J52" s="110">
        <f>IF(G51=AA52,2,"0")</f>
        <v>2</v>
      </c>
      <c r="K52" s="94"/>
      <c r="L52" s="24" t="str">
        <f>IF(AND(K52&gt;0,G51="Prescriptive Pathway"),"!","")</f>
        <v/>
      </c>
      <c r="M52" s="32" t="str">
        <f t="shared" si="9"/>
        <v/>
      </c>
      <c r="N52" s="32" t="str">
        <f>IF(Q52=AC14,K52,"")</f>
        <v/>
      </c>
      <c r="O52" s="32"/>
      <c r="P52" s="32"/>
      <c r="Q52" s="193"/>
      <c r="R52" s="135"/>
      <c r="S52" s="290"/>
      <c r="T52" s="255"/>
      <c r="U52" s="256"/>
      <c r="V52" s="256"/>
      <c r="W52" s="290"/>
      <c r="X52" s="255"/>
      <c r="Y52" s="256"/>
      <c r="Z52" s="256"/>
      <c r="AA52" s="11" t="s">
        <v>116</v>
      </c>
    </row>
    <row r="53" spans="2:27" ht="45" customHeight="1">
      <c r="E53" s="44"/>
      <c r="F53" s="44" t="s">
        <v>27</v>
      </c>
      <c r="G53" s="44"/>
      <c r="H53" s="45"/>
      <c r="I53" s="44"/>
      <c r="J53" s="45">
        <v>20</v>
      </c>
      <c r="K53" s="45">
        <f>SUM(K49:K52)</f>
        <v>0</v>
      </c>
      <c r="L53" s="24" t="str">
        <f>IF(K53&gt;J53,"!","")</f>
        <v/>
      </c>
      <c r="M53" s="46">
        <f>SUM(M49:M52)</f>
        <v>0</v>
      </c>
      <c r="N53" s="46">
        <f>SUM(N49:N52)</f>
        <v>0</v>
      </c>
      <c r="Q53" s="194"/>
      <c r="R53" s="33"/>
      <c r="S53" s="234"/>
      <c r="T53" s="260"/>
      <c r="U53" s="260"/>
      <c r="V53" s="260"/>
      <c r="W53" s="234"/>
      <c r="X53" s="260"/>
      <c r="Y53" s="260"/>
      <c r="Z53" s="260"/>
    </row>
    <row r="54" spans="2:27" ht="45" customHeight="1">
      <c r="L54" s="24"/>
      <c r="Q54" s="194"/>
      <c r="T54" s="258"/>
      <c r="U54" s="258"/>
      <c r="V54" s="258"/>
      <c r="X54" s="258"/>
      <c r="Y54" s="258"/>
      <c r="Z54" s="258"/>
    </row>
    <row r="55" spans="2:27" ht="45" customHeight="1">
      <c r="E55" s="26"/>
      <c r="F55" s="266" t="s">
        <v>196</v>
      </c>
      <c r="G55" s="72"/>
      <c r="H55" s="73"/>
      <c r="I55" s="72"/>
      <c r="J55" s="54">
        <v>10</v>
      </c>
      <c r="K55" s="54"/>
      <c r="L55" s="24"/>
      <c r="M55" s="165"/>
      <c r="N55" s="165"/>
      <c r="O55" s="165"/>
      <c r="P55" s="165"/>
      <c r="Q55" s="182"/>
      <c r="R55" s="33"/>
      <c r="S55" s="233"/>
      <c r="T55" s="243"/>
      <c r="U55" s="233"/>
      <c r="V55" s="233"/>
      <c r="W55" s="233"/>
      <c r="X55" s="243"/>
      <c r="Y55" s="233"/>
      <c r="Z55" s="233"/>
    </row>
    <row r="56" spans="2:27" ht="45" customHeight="1">
      <c r="E56" s="28"/>
      <c r="F56" s="379" t="s">
        <v>197</v>
      </c>
      <c r="G56" s="381" t="s">
        <v>198</v>
      </c>
      <c r="H56" s="159" t="s">
        <v>199</v>
      </c>
      <c r="I56" s="168" t="s">
        <v>200</v>
      </c>
      <c r="J56" s="110" t="str">
        <f>IF(G56=AA57,10,"0")</f>
        <v>0</v>
      </c>
      <c r="K56" s="87"/>
      <c r="L56" s="24" t="str">
        <f>IF(AND(K56&gt;0,G56="17B Prescriptive Pathway"),"!","")</f>
        <v/>
      </c>
      <c r="M56" s="32" t="str">
        <f>IF(OR(Q56=$AC$11,Q56=$AC$12, Q56=$AC$13),K56,"")</f>
        <v/>
      </c>
      <c r="N56" s="32" t="str">
        <f>IF(Q56=AC14,K56,"")</f>
        <v/>
      </c>
      <c r="O56" s="32"/>
      <c r="P56" s="32"/>
      <c r="Q56" s="193"/>
      <c r="R56" s="135"/>
      <c r="S56" s="290"/>
      <c r="T56" s="255"/>
      <c r="U56" s="256"/>
      <c r="V56" s="256"/>
      <c r="W56" s="290"/>
      <c r="X56" s="255"/>
      <c r="Y56" s="256"/>
      <c r="Z56" s="256"/>
    </row>
    <row r="57" spans="2:27" ht="45" customHeight="1">
      <c r="E57" s="28"/>
      <c r="F57" s="380"/>
      <c r="G57" s="382"/>
      <c r="H57" s="159" t="s">
        <v>201</v>
      </c>
      <c r="I57" s="168" t="s">
        <v>202</v>
      </c>
      <c r="J57" s="110">
        <f>IF($G$56=$AA$58,4,"0")</f>
        <v>4</v>
      </c>
      <c r="K57" s="87"/>
      <c r="L57" s="24" t="str">
        <f>IF(AND(K57&gt;0,$G$56="17A Performance Pathway"),"!","")</f>
        <v/>
      </c>
      <c r="M57" s="32" t="str">
        <f t="shared" ref="M57:M61" si="10">IF(OR(Q57=$AC$11,Q57=$AC$12, Q57=$AC$13),K57,"")</f>
        <v/>
      </c>
      <c r="N57" s="32" t="str">
        <f>IF(Q57=AC14,K57,"")</f>
        <v/>
      </c>
      <c r="O57" s="32"/>
      <c r="P57" s="32"/>
      <c r="Q57" s="193"/>
      <c r="R57" s="135"/>
      <c r="S57" s="290"/>
      <c r="T57" s="255"/>
      <c r="U57" s="256"/>
      <c r="V57" s="256"/>
      <c r="W57" s="290"/>
      <c r="X57" s="255"/>
      <c r="Y57" s="256"/>
      <c r="Z57" s="256"/>
      <c r="AA57" s="11" t="s">
        <v>203</v>
      </c>
    </row>
    <row r="58" spans="2:27" ht="45" customHeight="1">
      <c r="B58" s="152">
        <f>IF(AND(C58=TRUE,$G$56=$AA$58),1,0)</f>
        <v>0</v>
      </c>
      <c r="C58" s="152" t="b">
        <v>0</v>
      </c>
      <c r="E58" s="28"/>
      <c r="F58" s="380"/>
      <c r="G58" s="382"/>
      <c r="H58" s="159" t="s">
        <v>204</v>
      </c>
      <c r="I58" s="168" t="s">
        <v>205</v>
      </c>
      <c r="J58" s="113">
        <f>IF(AND($G$56=$AA$58,OR(C58=FALSE,AND(C58=TRUE,Q58=$AC$14))),1,0)</f>
        <v>1</v>
      </c>
      <c r="K58" s="87"/>
      <c r="L58" s="24" t="str">
        <f>IF(OR(K58&gt;J58,AND(K58&gt;0,$G$56="17A Performance Pathway")),"!","")</f>
        <v/>
      </c>
      <c r="M58" s="32" t="str">
        <f t="shared" si="10"/>
        <v/>
      </c>
      <c r="N58" s="32" t="str">
        <f>IF(Q58=AC14,K58,"")</f>
        <v/>
      </c>
      <c r="O58" s="32"/>
      <c r="P58" s="32"/>
      <c r="Q58" s="193"/>
      <c r="R58" s="135"/>
      <c r="S58" s="290"/>
      <c r="T58" s="255"/>
      <c r="U58" s="256"/>
      <c r="V58" s="256"/>
      <c r="W58" s="290"/>
      <c r="X58" s="255"/>
      <c r="Y58" s="256"/>
      <c r="Z58" s="256"/>
      <c r="AA58" s="11" t="s">
        <v>198</v>
      </c>
    </row>
    <row r="59" spans="2:27" ht="45" customHeight="1">
      <c r="B59" s="152">
        <f>IF(AND(C59=TRUE,$G$56=$AA$58),2,0)</f>
        <v>0</v>
      </c>
      <c r="C59" s="152" t="b">
        <v>0</v>
      </c>
      <c r="E59" s="28"/>
      <c r="F59" s="380"/>
      <c r="G59" s="382"/>
      <c r="H59" s="159" t="s">
        <v>206</v>
      </c>
      <c r="I59" s="168" t="s">
        <v>207</v>
      </c>
      <c r="J59" s="113">
        <f>IF(AND($G$56=$AA$58,OR(C59=FALSE,AND(C59=TRUE,Q59=$AC$14))),2,0)</f>
        <v>2</v>
      </c>
      <c r="K59" s="87"/>
      <c r="L59" s="24" t="str">
        <f>IF(OR(K59&gt;J59,AND(K59&gt;0,$G$56="17A Performance Pathway")),"!","")</f>
        <v/>
      </c>
      <c r="M59" s="32" t="str">
        <f t="shared" si="10"/>
        <v/>
      </c>
      <c r="N59" s="32" t="str">
        <f>IF(Q59=AC14,K59,"")</f>
        <v/>
      </c>
      <c r="O59" s="32"/>
      <c r="P59" s="32"/>
      <c r="Q59" s="193"/>
      <c r="R59" s="135"/>
      <c r="S59" s="290"/>
      <c r="T59" s="255"/>
      <c r="U59" s="256"/>
      <c r="V59" s="256"/>
      <c r="W59" s="290"/>
      <c r="X59" s="255"/>
      <c r="Y59" s="256"/>
      <c r="Z59" s="256"/>
    </row>
    <row r="60" spans="2:27" ht="45" customHeight="1">
      <c r="E60" s="28"/>
      <c r="F60" s="380"/>
      <c r="G60" s="382"/>
      <c r="H60" s="159" t="s">
        <v>208</v>
      </c>
      <c r="I60" s="168" t="s">
        <v>209</v>
      </c>
      <c r="J60" s="110">
        <f>IF($G$56=$AA$58,2,"0")</f>
        <v>2</v>
      </c>
      <c r="K60" s="87"/>
      <c r="L60" s="24" t="str">
        <f t="shared" ref="L60:L61" si="11">IF(AND(K60&gt;0,$G$56="17A Performance Pathway"),"!","")</f>
        <v/>
      </c>
      <c r="M60" s="32" t="str">
        <f t="shared" si="10"/>
        <v/>
      </c>
      <c r="N60" s="32" t="str">
        <f>IF(Q60=AC14,K60,"")</f>
        <v/>
      </c>
      <c r="O60" s="32"/>
      <c r="P60" s="32"/>
      <c r="Q60" s="193"/>
      <c r="R60" s="135"/>
      <c r="S60" s="290"/>
      <c r="T60" s="255"/>
      <c r="U60" s="256"/>
      <c r="V60" s="256"/>
      <c r="W60" s="290"/>
      <c r="X60" s="255"/>
      <c r="Y60" s="256"/>
      <c r="Z60" s="256"/>
    </row>
    <row r="61" spans="2:27" ht="45" customHeight="1">
      <c r="E61" s="28"/>
      <c r="F61" s="380"/>
      <c r="G61" s="382"/>
      <c r="H61" s="159" t="s">
        <v>210</v>
      </c>
      <c r="I61" s="168" t="s">
        <v>211</v>
      </c>
      <c r="J61" s="110">
        <f>IF($G$56=$AA$58,1,"0")</f>
        <v>1</v>
      </c>
      <c r="K61" s="87"/>
      <c r="L61" s="24" t="str">
        <f t="shared" si="11"/>
        <v/>
      </c>
      <c r="M61" s="32" t="str">
        <f t="shared" si="10"/>
        <v/>
      </c>
      <c r="N61" s="32" t="str">
        <f>IF(Q61=AC14,K61,"")</f>
        <v/>
      </c>
      <c r="O61" s="32"/>
      <c r="P61" s="32"/>
      <c r="Q61" s="193"/>
      <c r="R61" s="135"/>
      <c r="S61" s="290"/>
      <c r="T61" s="255"/>
      <c r="U61" s="256"/>
      <c r="V61" s="256"/>
      <c r="W61" s="290"/>
      <c r="X61" s="255"/>
      <c r="Y61" s="256"/>
      <c r="Z61" s="256"/>
    </row>
    <row r="62" spans="2:27" ht="45" customHeight="1">
      <c r="E62" s="44"/>
      <c r="F62" s="44" t="s">
        <v>27</v>
      </c>
      <c r="G62" s="44"/>
      <c r="H62" s="45"/>
      <c r="I62" s="44"/>
      <c r="J62" s="45">
        <f>SUM(J56:J61)</f>
        <v>10</v>
      </c>
      <c r="K62" s="45">
        <f>IF(AND(SUM(K57:K61)&gt;10,$G$56=$AA$58),10,SUM(K56:K61))</f>
        <v>0</v>
      </c>
      <c r="L62" s="24" t="str">
        <f>IF(K62&gt;J62,"!","")</f>
        <v/>
      </c>
      <c r="M62" s="45">
        <f>IF(AND(SUM(M57:M61)&gt;7,$G$56=$AA$58),7,SUM(M56:M61))</f>
        <v>0</v>
      </c>
      <c r="N62" s="45">
        <f>IF(AND(SUM(N56:N61)&gt;7,$G$56=$AA$59),7,SUM(N56:N61))</f>
        <v>0</v>
      </c>
      <c r="Q62" s="194"/>
      <c r="R62" s="33"/>
      <c r="S62" s="234"/>
      <c r="T62" s="9"/>
      <c r="U62" s="260"/>
      <c r="V62" s="260"/>
      <c r="W62" s="234"/>
      <c r="X62" s="9"/>
      <c r="Y62" s="260"/>
      <c r="Z62" s="260"/>
    </row>
    <row r="63" spans="2:27" ht="45" customHeight="1">
      <c r="L63" s="24"/>
      <c r="Q63" s="194"/>
      <c r="U63" s="258"/>
      <c r="V63" s="258"/>
      <c r="Y63" s="258"/>
      <c r="Z63" s="258"/>
    </row>
    <row r="64" spans="2:27" ht="45" customHeight="1">
      <c r="E64" s="26"/>
      <c r="F64" s="266" t="s">
        <v>212</v>
      </c>
      <c r="G64" s="72"/>
      <c r="H64" s="73"/>
      <c r="I64" s="72"/>
      <c r="J64" s="54">
        <v>10</v>
      </c>
      <c r="K64" s="54"/>
      <c r="L64" s="24"/>
      <c r="M64" s="165"/>
      <c r="N64" s="165"/>
      <c r="O64" s="165"/>
      <c r="P64" s="165"/>
      <c r="Q64" s="182"/>
      <c r="R64" s="33"/>
      <c r="S64" s="233"/>
      <c r="T64" s="243"/>
      <c r="U64" s="233"/>
      <c r="V64" s="233"/>
      <c r="W64" s="233"/>
      <c r="X64" s="243"/>
      <c r="Y64" s="233"/>
      <c r="Z64" s="233"/>
    </row>
    <row r="65" spans="1:27" ht="45" customHeight="1">
      <c r="E65" s="28"/>
      <c r="F65" s="383" t="s">
        <v>213</v>
      </c>
      <c r="G65" s="381" t="s">
        <v>119</v>
      </c>
      <c r="H65" s="74" t="s">
        <v>214</v>
      </c>
      <c r="I65" s="75" t="s">
        <v>215</v>
      </c>
      <c r="J65" s="76" t="str">
        <f>IF(G65=AA65,10,"0")</f>
        <v>0</v>
      </c>
      <c r="K65" s="83"/>
      <c r="L65" s="24" t="str">
        <f>IF(AND(K65&gt;0,G65="Prescriptive Pathway"),"!","")</f>
        <v/>
      </c>
      <c r="M65" s="32" t="str">
        <f>IF(OR(Q65=$AC$11,Q65=$AC$12, Q65=$AC$13),K65,"")</f>
        <v/>
      </c>
      <c r="N65" s="32" t="str">
        <f>IF(Q65=AC14,K65,"")</f>
        <v/>
      </c>
      <c r="O65" s="32"/>
      <c r="P65" s="32"/>
      <c r="Q65" s="193"/>
      <c r="R65" s="33"/>
      <c r="S65" s="290"/>
      <c r="T65" s="255"/>
      <c r="U65" s="256"/>
      <c r="V65" s="256"/>
      <c r="W65" s="290"/>
      <c r="X65" s="255"/>
      <c r="Y65" s="256"/>
      <c r="Z65" s="256"/>
      <c r="AA65" s="9" t="s">
        <v>116</v>
      </c>
    </row>
    <row r="66" spans="1:27" ht="45" customHeight="1">
      <c r="E66" s="28"/>
      <c r="F66" s="365"/>
      <c r="G66" s="382"/>
      <c r="H66" s="77" t="s">
        <v>216</v>
      </c>
      <c r="I66" s="78" t="s">
        <v>217</v>
      </c>
      <c r="J66" s="79">
        <f>IF($G$65=$AA$66,1,0)</f>
        <v>1</v>
      </c>
      <c r="K66" s="84"/>
      <c r="L66" s="24" t="str">
        <f>IF(AND(K66&gt;0,$G$65="Performance Pathway"),"!","")</f>
        <v/>
      </c>
      <c r="M66" s="32" t="str">
        <f t="shared" ref="M66:M70" si="12">IF(OR(Q66=$AC$11,Q66=$AC$12, Q66=$AC$13),K66,"")</f>
        <v/>
      </c>
      <c r="N66" s="32" t="str">
        <f>IF(Q66=AC14,K66,"")</f>
        <v/>
      </c>
      <c r="O66" s="32"/>
      <c r="P66" s="32"/>
      <c r="Q66" s="193"/>
      <c r="R66" s="33"/>
      <c r="S66" s="290"/>
      <c r="T66" s="255"/>
      <c r="U66" s="256"/>
      <c r="V66" s="256"/>
      <c r="W66" s="290"/>
      <c r="X66" s="255"/>
      <c r="Y66" s="256"/>
      <c r="Z66" s="256"/>
      <c r="AA66" s="9" t="s">
        <v>119</v>
      </c>
    </row>
    <row r="67" spans="1:27" ht="45" customHeight="1">
      <c r="E67" s="28"/>
      <c r="F67" s="365"/>
      <c r="G67" s="382"/>
      <c r="H67" s="77" t="s">
        <v>218</v>
      </c>
      <c r="I67" s="78" t="s">
        <v>219</v>
      </c>
      <c r="J67" s="79">
        <f>IF($G$65=$AA$66,1,0)</f>
        <v>1</v>
      </c>
      <c r="K67" s="84"/>
      <c r="L67" s="24" t="str">
        <f t="shared" ref="L67:L68" si="13">IF(AND(K67&gt;0,$G$65="Performance Pathway"),"!","")</f>
        <v/>
      </c>
      <c r="M67" s="32" t="str">
        <f t="shared" si="12"/>
        <v/>
      </c>
      <c r="N67" s="32" t="str">
        <f>IF(Q67=AC14,K67,"")</f>
        <v/>
      </c>
      <c r="O67" s="32"/>
      <c r="P67" s="32"/>
      <c r="Q67" s="193"/>
      <c r="R67" s="33"/>
      <c r="S67" s="290"/>
      <c r="T67" s="255"/>
      <c r="U67" s="256"/>
      <c r="V67" s="256"/>
      <c r="W67" s="290"/>
      <c r="X67" s="255"/>
      <c r="Y67" s="256"/>
      <c r="Z67" s="256"/>
    </row>
    <row r="68" spans="1:27" ht="45" customHeight="1">
      <c r="E68" s="28"/>
      <c r="F68" s="365"/>
      <c r="G68" s="382"/>
      <c r="H68" s="77" t="s">
        <v>220</v>
      </c>
      <c r="I68" s="294" t="s">
        <v>221</v>
      </c>
      <c r="J68" s="79">
        <f>IF($G$65=$AA$66,1,0)</f>
        <v>1</v>
      </c>
      <c r="K68" s="84"/>
      <c r="L68" s="24" t="str">
        <f t="shared" si="13"/>
        <v/>
      </c>
      <c r="M68" s="32" t="str">
        <f t="shared" si="12"/>
        <v/>
      </c>
      <c r="N68" s="32" t="str">
        <f>IF(Q68=AC14,K68,"")</f>
        <v/>
      </c>
      <c r="O68" s="32"/>
      <c r="P68" s="32"/>
      <c r="Q68" s="193"/>
      <c r="R68" s="33"/>
      <c r="S68" s="290"/>
      <c r="T68" s="255"/>
      <c r="U68" s="256"/>
      <c r="V68" s="256"/>
      <c r="W68" s="290"/>
      <c r="X68" s="255"/>
      <c r="Y68" s="256"/>
      <c r="Z68" s="256"/>
    </row>
    <row r="69" spans="1:27" ht="45" customHeight="1">
      <c r="B69" s="152">
        <f>IF(AND($G$65=$AA$66,C69=TRUE),1,0)</f>
        <v>0</v>
      </c>
      <c r="C69" s="152" t="b">
        <v>0</v>
      </c>
      <c r="E69" s="28"/>
      <c r="F69" s="365"/>
      <c r="G69" s="382"/>
      <c r="H69" s="304" t="s">
        <v>222</v>
      </c>
      <c r="I69" s="294" t="s">
        <v>223</v>
      </c>
      <c r="J69" s="79">
        <f>IF(AND($G$65=$AA$66,OR(C69=FALSE,AND(C69=TRUE,Q69=$AC$14))),1,0)</f>
        <v>1</v>
      </c>
      <c r="K69" s="84"/>
      <c r="L69" s="24" t="str">
        <f>IF(OR(K69&gt;J69,AND(K69&gt;0,$G$65="Performance Pathway")),"!","")</f>
        <v/>
      </c>
      <c r="M69" s="32" t="str">
        <f t="shared" si="12"/>
        <v/>
      </c>
      <c r="N69" s="32" t="str">
        <f>IF(Q69=AC14,K69,"")</f>
        <v/>
      </c>
      <c r="O69" s="32"/>
      <c r="P69" s="32"/>
      <c r="Q69" s="193"/>
      <c r="R69" s="33"/>
      <c r="S69" s="290"/>
      <c r="T69" s="255"/>
      <c r="U69" s="256"/>
      <c r="V69" s="256"/>
      <c r="W69" s="290"/>
      <c r="X69" s="255"/>
      <c r="Y69" s="256"/>
      <c r="Z69" s="256"/>
    </row>
    <row r="70" spans="1:27" ht="45" customHeight="1">
      <c r="B70" s="152">
        <f>IF(AND($G$65=$AA$66,C70=TRUE),1,0)</f>
        <v>0</v>
      </c>
      <c r="C70" s="152" t="b">
        <v>0</v>
      </c>
      <c r="E70" s="28"/>
      <c r="F70" s="372"/>
      <c r="G70" s="384"/>
      <c r="H70" s="80" t="s">
        <v>224</v>
      </c>
      <c r="I70" s="134" t="s">
        <v>225</v>
      </c>
      <c r="J70" s="79">
        <f>IF(AND($G$65=$AA$66,OR(C70=FALSE,AND(C70=TRUE,Q70=$AC$14))),1,0)</f>
        <v>1</v>
      </c>
      <c r="K70" s="85"/>
      <c r="L70" s="24" t="str">
        <f>IF(OR(K70&gt;J70,AND(K70&gt;0,$G$65="Performance Pathway")),"!","")</f>
        <v/>
      </c>
      <c r="M70" s="32" t="str">
        <f t="shared" si="12"/>
        <v/>
      </c>
      <c r="N70" s="32" t="str">
        <f>IF(Q70=AC14,K70,"")</f>
        <v/>
      </c>
      <c r="O70" s="32"/>
      <c r="P70" s="32"/>
      <c r="Q70" s="193"/>
      <c r="R70" s="33"/>
      <c r="S70" s="290"/>
      <c r="T70" s="255"/>
      <c r="U70" s="256"/>
      <c r="V70" s="256"/>
      <c r="W70" s="290"/>
      <c r="X70" s="255"/>
      <c r="Y70" s="256"/>
      <c r="Z70" s="256"/>
    </row>
    <row r="71" spans="1:27" ht="45" customHeight="1">
      <c r="E71" s="44"/>
      <c r="F71" s="44" t="s">
        <v>27</v>
      </c>
      <c r="G71" s="44"/>
      <c r="H71" s="45"/>
      <c r="I71" s="44"/>
      <c r="J71" s="45">
        <f>IF($G$65=$AA$66,(SUM(J65:J70)+5),10)</f>
        <v>10</v>
      </c>
      <c r="K71" s="45">
        <f>IF(AND(G65=$AA$66,SUM(K65:K70)&gt;5),5,SUM(K65:K70))</f>
        <v>0</v>
      </c>
      <c r="L71" s="24" t="str">
        <f>IF(K71&gt;J71,"!","")</f>
        <v/>
      </c>
      <c r="M71" s="46">
        <f t="shared" ref="M71:N71" si="14">SUM(M65:M70)</f>
        <v>0</v>
      </c>
      <c r="N71" s="46">
        <f t="shared" si="14"/>
        <v>0</v>
      </c>
      <c r="Q71" s="194"/>
      <c r="R71" s="33"/>
      <c r="S71" s="234"/>
      <c r="T71" s="9"/>
      <c r="U71" s="260"/>
      <c r="V71" s="260"/>
      <c r="W71" s="234"/>
      <c r="X71" s="9"/>
      <c r="Y71" s="260"/>
      <c r="Z71" s="260"/>
    </row>
    <row r="72" spans="1:27" ht="45" customHeight="1">
      <c r="L72" s="24"/>
      <c r="Q72" s="194"/>
      <c r="U72" s="258"/>
      <c r="V72" s="258"/>
      <c r="Y72" s="258"/>
      <c r="Z72" s="258"/>
    </row>
    <row r="73" spans="1:27" ht="45" customHeight="1">
      <c r="E73" s="26"/>
      <c r="F73" s="266" t="s">
        <v>226</v>
      </c>
      <c r="G73" s="72"/>
      <c r="H73" s="54"/>
      <c r="I73" s="72"/>
      <c r="J73" s="54">
        <v>18</v>
      </c>
      <c r="K73" s="54"/>
      <c r="L73" s="24"/>
      <c r="M73" s="165"/>
      <c r="N73" s="165"/>
      <c r="O73" s="165"/>
      <c r="P73" s="165"/>
      <c r="Q73" s="182"/>
      <c r="R73" s="33"/>
      <c r="S73" s="233"/>
      <c r="T73" s="243"/>
      <c r="U73" s="233"/>
      <c r="V73" s="233"/>
      <c r="W73" s="233"/>
      <c r="X73" s="243"/>
      <c r="Y73" s="233"/>
      <c r="Z73" s="233"/>
      <c r="AA73" s="9"/>
    </row>
    <row r="74" spans="1:27" ht="45" customHeight="1">
      <c r="E74" s="28"/>
      <c r="F74" s="385" t="s">
        <v>227</v>
      </c>
      <c r="G74" s="381" t="s">
        <v>228</v>
      </c>
      <c r="H74" s="115" t="s">
        <v>229</v>
      </c>
      <c r="I74" s="190" t="s">
        <v>230</v>
      </c>
      <c r="J74" s="86" t="str">
        <f>IF(G74=AA74,6,"0")</f>
        <v>0</v>
      </c>
      <c r="K74" s="305"/>
      <c r="L74" s="24" t="str">
        <f>IF(AND(G74=$AA$74,$K$74=0),"CR","")</f>
        <v/>
      </c>
      <c r="M74" s="32" t="str">
        <f>IF(OR(Q74=$AC$11,Q74=$AC$12,Q74=$AC$13),K74,"")</f>
        <v/>
      </c>
      <c r="N74" s="32" t="str">
        <f>IF(Q74=AC14,K74,"")</f>
        <v/>
      </c>
      <c r="O74" s="32"/>
      <c r="P74" s="32"/>
      <c r="Q74" s="193"/>
      <c r="R74" s="33"/>
      <c r="S74" s="290"/>
      <c r="T74" s="255"/>
      <c r="U74" s="256"/>
      <c r="V74" s="256"/>
      <c r="W74" s="290"/>
      <c r="X74" s="255"/>
      <c r="Y74" s="256"/>
      <c r="Z74" s="256"/>
      <c r="AA74" s="293" t="s">
        <v>231</v>
      </c>
    </row>
    <row r="75" spans="1:27" ht="45" customHeight="1">
      <c r="E75" s="28"/>
      <c r="F75" s="386"/>
      <c r="G75" s="382"/>
      <c r="H75" s="115" t="s">
        <v>232</v>
      </c>
      <c r="I75" s="130" t="s">
        <v>233</v>
      </c>
      <c r="J75" s="86">
        <f>IF(G74=AA75,6,"0")</f>
        <v>6</v>
      </c>
      <c r="K75" s="69"/>
      <c r="L75" s="24" t="str">
        <f>IF(AND(G74=$AA$75,K75=0),"CR","")</f>
        <v>CR</v>
      </c>
      <c r="M75" s="32" t="str">
        <f t="shared" ref="M75:M84" si="15">IF(OR(Q75=$AC$11,Q75=$AC$12,Q75=$AC$13),K75,"")</f>
        <v/>
      </c>
      <c r="N75" s="32" t="str">
        <f>IF(Q75=AC14,K75,"")</f>
        <v/>
      </c>
      <c r="O75" s="32"/>
      <c r="P75" s="32"/>
      <c r="Q75" s="193"/>
      <c r="R75" s="33"/>
      <c r="S75" s="290"/>
      <c r="T75" s="255"/>
      <c r="U75" s="256"/>
      <c r="V75" s="256"/>
      <c r="W75" s="290"/>
      <c r="X75" s="255"/>
      <c r="Y75" s="256"/>
      <c r="Z75" s="256"/>
      <c r="AA75" s="292" t="s">
        <v>228</v>
      </c>
    </row>
    <row r="76" spans="1:27" ht="45" customHeight="1">
      <c r="E76" s="28"/>
      <c r="F76" s="386"/>
      <c r="G76" s="362"/>
      <c r="H76" s="127">
        <v>19.2</v>
      </c>
      <c r="I76" s="38" t="s">
        <v>234</v>
      </c>
      <c r="J76" s="127">
        <v>3</v>
      </c>
      <c r="K76" s="59"/>
      <c r="L76" s="24" t="str">
        <f>IF(AND(K75=0,K74=0,K76&gt;0),"!","")</f>
        <v/>
      </c>
      <c r="M76" s="32" t="str">
        <f t="shared" si="15"/>
        <v/>
      </c>
      <c r="N76" s="32" t="str">
        <f>IF(Q76=AC14,K76,"")</f>
        <v/>
      </c>
      <c r="O76" s="32"/>
      <c r="P76" s="32"/>
      <c r="Q76" s="193"/>
      <c r="R76" s="33"/>
      <c r="S76" s="290"/>
      <c r="T76" s="255"/>
      <c r="U76" s="256"/>
      <c r="V76" s="256"/>
      <c r="W76" s="290"/>
      <c r="X76" s="255"/>
      <c r="Y76" s="256"/>
      <c r="Z76" s="256"/>
    </row>
    <row r="77" spans="1:27" ht="45" customHeight="1">
      <c r="E77" s="28"/>
      <c r="F77" s="387"/>
      <c r="G77" s="388"/>
      <c r="H77" s="127">
        <v>19.3</v>
      </c>
      <c r="I77" s="38" t="s">
        <v>235</v>
      </c>
      <c r="J77" s="127">
        <v>2</v>
      </c>
      <c r="K77" s="59"/>
      <c r="L77" s="24" t="str">
        <f>IF(AND(K74=0,K75=0,K77&gt;0),"!","")</f>
        <v/>
      </c>
      <c r="M77" s="32" t="str">
        <f t="shared" si="15"/>
        <v/>
      </c>
      <c r="N77" s="32" t="str">
        <f>IF(Q77=AC14,K77,"")</f>
        <v/>
      </c>
      <c r="O77" s="32"/>
      <c r="P77" s="32"/>
      <c r="Q77" s="193"/>
      <c r="R77" s="33"/>
      <c r="S77" s="290"/>
      <c r="T77" s="255"/>
      <c r="U77" s="256"/>
      <c r="V77" s="256"/>
      <c r="W77" s="290"/>
      <c r="X77" s="255"/>
      <c r="Y77" s="256"/>
      <c r="Z77" s="256"/>
    </row>
    <row r="78" spans="1:27" ht="45" customHeight="1">
      <c r="A78" s="152">
        <v>1</v>
      </c>
      <c r="B78" s="152">
        <f t="shared" ref="B78:B80" si="16">IF(C78=TRUE,A78,0)</f>
        <v>0</v>
      </c>
      <c r="C78" s="152" t="b">
        <v>0</v>
      </c>
      <c r="E78" s="28"/>
      <c r="F78" s="356" t="s">
        <v>236</v>
      </c>
      <c r="G78" s="362" t="s">
        <v>237</v>
      </c>
      <c r="H78" s="129">
        <v>20.100000000000001</v>
      </c>
      <c r="I78" s="128" t="s">
        <v>238</v>
      </c>
      <c r="J78" s="58">
        <f>IF(OR(C78=FALSE,Q78=$AC$14),A78,0)</f>
        <v>1</v>
      </c>
      <c r="K78" s="59"/>
      <c r="L78" s="24" t="str">
        <f>IF(K78&gt;J78,"!","")</f>
        <v/>
      </c>
      <c r="M78" s="32" t="str">
        <f t="shared" si="15"/>
        <v/>
      </c>
      <c r="N78" s="32" t="str">
        <f>IF(Q78=AC14,K78,"")</f>
        <v/>
      </c>
      <c r="O78" s="32"/>
      <c r="P78" s="32"/>
      <c r="Q78" s="193"/>
      <c r="R78" s="33"/>
      <c r="S78" s="290"/>
      <c r="T78" s="255"/>
      <c r="U78" s="256"/>
      <c r="V78" s="256"/>
      <c r="W78" s="290"/>
      <c r="X78" s="255"/>
      <c r="Y78" s="256"/>
      <c r="Z78" s="256"/>
    </row>
    <row r="79" spans="1:27" ht="45" customHeight="1">
      <c r="A79" s="152">
        <v>1</v>
      </c>
      <c r="B79" s="152">
        <f t="shared" si="16"/>
        <v>0</v>
      </c>
      <c r="C79" s="152" t="b">
        <v>0</v>
      </c>
      <c r="E79" s="28"/>
      <c r="F79" s="357"/>
      <c r="G79" s="388"/>
      <c r="H79" s="129">
        <v>20.2</v>
      </c>
      <c r="I79" s="128" t="s">
        <v>239</v>
      </c>
      <c r="J79" s="58">
        <f>IF(OR(C79=FALSE,Q79=$AC$14),A79,0)</f>
        <v>1</v>
      </c>
      <c r="K79" s="59"/>
      <c r="L79" s="24" t="str">
        <f t="shared" ref="L79:L80" si="17">IF(K79&gt;J79,"!","")</f>
        <v/>
      </c>
      <c r="M79" s="32" t="str">
        <f t="shared" si="15"/>
        <v/>
      </c>
      <c r="N79" s="32" t="str">
        <f>IF(Q79=AC14,K79,"")</f>
        <v/>
      </c>
      <c r="O79" s="32"/>
      <c r="P79" s="32"/>
      <c r="Q79" s="193"/>
      <c r="R79" s="33"/>
      <c r="S79" s="290"/>
      <c r="T79" s="255"/>
      <c r="U79" s="256"/>
      <c r="V79" s="256"/>
      <c r="W79" s="290"/>
      <c r="X79" s="255"/>
      <c r="Y79" s="256"/>
      <c r="Z79" s="256"/>
    </row>
    <row r="80" spans="1:27" ht="45" customHeight="1">
      <c r="A80" s="152">
        <v>1</v>
      </c>
      <c r="B80" s="152">
        <f t="shared" si="16"/>
        <v>0</v>
      </c>
      <c r="C80" s="152" t="b">
        <v>0</v>
      </c>
      <c r="E80" s="28"/>
      <c r="F80" s="358"/>
      <c r="G80" s="389"/>
      <c r="H80" s="129">
        <v>20.3</v>
      </c>
      <c r="I80" s="128" t="s">
        <v>240</v>
      </c>
      <c r="J80" s="58">
        <f>IF(OR(C80=FALSE,Q80=$AC$14),A80,0)</f>
        <v>1</v>
      </c>
      <c r="K80" s="59"/>
      <c r="L80" s="24" t="str">
        <f t="shared" si="17"/>
        <v/>
      </c>
      <c r="M80" s="32" t="str">
        <f t="shared" si="15"/>
        <v/>
      </c>
      <c r="N80" s="32" t="str">
        <f>IF(Q80=AC14,K80,"")</f>
        <v/>
      </c>
      <c r="O80" s="32"/>
      <c r="P80" s="32"/>
      <c r="Q80" s="193"/>
      <c r="R80" s="33"/>
      <c r="S80" s="290"/>
      <c r="T80" s="255"/>
      <c r="U80" s="256"/>
      <c r="V80" s="256"/>
      <c r="W80" s="290"/>
      <c r="X80" s="255"/>
      <c r="Y80" s="256"/>
      <c r="Z80" s="256"/>
    </row>
    <row r="81" spans="1:27" ht="45" customHeight="1">
      <c r="E81" s="28"/>
      <c r="F81" s="184" t="s">
        <v>241</v>
      </c>
      <c r="G81" s="268" t="s">
        <v>242</v>
      </c>
      <c r="H81" s="277">
        <v>21</v>
      </c>
      <c r="I81" s="128" t="s">
        <v>243</v>
      </c>
      <c r="J81" s="86">
        <v>3</v>
      </c>
      <c r="K81" s="59"/>
      <c r="L81" s="24"/>
      <c r="M81" s="32" t="str">
        <f t="shared" si="15"/>
        <v/>
      </c>
      <c r="N81" s="32" t="str">
        <f>IF(Q81=AC14,K81,"")</f>
        <v/>
      </c>
      <c r="O81" s="32"/>
      <c r="P81" s="32"/>
      <c r="Q81" s="193"/>
      <c r="R81" s="33"/>
      <c r="S81" s="290"/>
      <c r="T81" s="255"/>
      <c r="U81" s="256"/>
      <c r="V81" s="256"/>
      <c r="W81" s="290"/>
      <c r="X81" s="255"/>
      <c r="Y81" s="256"/>
      <c r="Z81" s="256"/>
    </row>
    <row r="82" spans="1:27" ht="45" customHeight="1">
      <c r="E82" s="28"/>
      <c r="F82" s="385" t="s">
        <v>244</v>
      </c>
      <c r="G82" s="268"/>
      <c r="H82" s="275">
        <v>22.1</v>
      </c>
      <c r="I82" s="128" t="s">
        <v>245</v>
      </c>
      <c r="J82" s="86" t="s">
        <v>144</v>
      </c>
      <c r="K82" s="30"/>
      <c r="L82" s="24"/>
      <c r="M82" s="32" t="str">
        <f t="shared" si="15"/>
        <v/>
      </c>
      <c r="N82" s="32" t="str">
        <f>IF(Q82=AC14,K82,"")</f>
        <v/>
      </c>
      <c r="O82" s="32"/>
      <c r="P82" s="32"/>
      <c r="Q82" s="193"/>
      <c r="R82" s="33"/>
      <c r="S82" s="290"/>
      <c r="T82" s="255"/>
      <c r="U82" s="256"/>
      <c r="V82" s="256"/>
      <c r="W82" s="290"/>
      <c r="X82" s="255"/>
      <c r="Y82" s="256"/>
      <c r="Z82" s="256"/>
    </row>
    <row r="83" spans="1:27" ht="45" customHeight="1">
      <c r="E83" s="28"/>
      <c r="F83" s="386"/>
      <c r="G83" s="369" t="s">
        <v>246</v>
      </c>
      <c r="H83" s="196" t="s">
        <v>247</v>
      </c>
      <c r="I83" s="128" t="s">
        <v>248</v>
      </c>
      <c r="J83" s="86" t="str">
        <f>IF(G83=AA83,1,"0")</f>
        <v>0</v>
      </c>
      <c r="K83" s="59"/>
      <c r="L83" s="24" t="str">
        <f>IF(AND(K83&gt;0,OR(G83="Percentage Benchmark",K82&lt;&gt;$AD$10)),"!","")</f>
        <v/>
      </c>
      <c r="M83" s="32" t="str">
        <f t="shared" si="15"/>
        <v/>
      </c>
      <c r="N83" s="32" t="str">
        <f>IF(Q83=AC14,K83,"")</f>
        <v/>
      </c>
      <c r="O83" s="32"/>
      <c r="P83" s="32"/>
      <c r="Q83" s="193"/>
      <c r="R83" s="33"/>
      <c r="S83" s="290"/>
      <c r="T83" s="255"/>
      <c r="U83" s="256"/>
      <c r="V83" s="256"/>
      <c r="W83" s="290"/>
      <c r="X83" s="255"/>
      <c r="Y83" s="256"/>
      <c r="Z83" s="256"/>
      <c r="AA83" s="11" t="s">
        <v>248</v>
      </c>
    </row>
    <row r="84" spans="1:27" ht="45" customHeight="1">
      <c r="E84" s="28"/>
      <c r="F84" s="387"/>
      <c r="G84" s="370"/>
      <c r="H84" s="196" t="s">
        <v>249</v>
      </c>
      <c r="I84" s="268" t="s">
        <v>246</v>
      </c>
      <c r="J84" s="86">
        <f>IF(G83=AA84,1,"0")</f>
        <v>1</v>
      </c>
      <c r="K84" s="59"/>
      <c r="L84" s="24" t="str">
        <f>IF(AND(K84&gt;0,OR(G83="Fixed Benchmark",K82&lt;&gt;$AD$10)),"!","")</f>
        <v/>
      </c>
      <c r="M84" s="32" t="str">
        <f t="shared" si="15"/>
        <v/>
      </c>
      <c r="N84" s="32" t="str">
        <f>IF(Q84=AC14,K84,"")</f>
        <v/>
      </c>
      <c r="O84" s="32"/>
      <c r="P84" s="32"/>
      <c r="Q84" s="193"/>
      <c r="R84" s="33"/>
      <c r="S84" s="290"/>
      <c r="T84" s="255"/>
      <c r="U84" s="256"/>
      <c r="V84" s="256"/>
      <c r="W84" s="290"/>
      <c r="X84" s="255"/>
      <c r="Y84" s="256"/>
      <c r="Z84" s="256"/>
      <c r="AA84" s="11" t="s">
        <v>246</v>
      </c>
    </row>
    <row r="85" spans="1:27" ht="45" customHeight="1">
      <c r="E85" s="44"/>
      <c r="F85" s="44" t="s">
        <v>27</v>
      </c>
      <c r="G85" s="44"/>
      <c r="H85" s="45"/>
      <c r="I85" s="44"/>
      <c r="J85" s="45">
        <f>SUM(J74:J84)</f>
        <v>18</v>
      </c>
      <c r="K85" s="45">
        <f>SUM(K74:K84)</f>
        <v>0</v>
      </c>
      <c r="L85" s="24" t="str">
        <f>IF(K85&gt;J85,"!","")</f>
        <v/>
      </c>
      <c r="M85" s="46">
        <f>SUM(M74:M84)</f>
        <v>0</v>
      </c>
      <c r="N85" s="46">
        <f>SUM(N74:N84)</f>
        <v>0</v>
      </c>
      <c r="Q85" s="194"/>
      <c r="R85" s="33"/>
      <c r="S85" s="234"/>
      <c r="T85" s="9"/>
      <c r="U85" s="260"/>
      <c r="V85" s="260"/>
      <c r="W85" s="234"/>
      <c r="X85" s="9"/>
      <c r="Y85" s="260"/>
      <c r="Z85" s="260"/>
    </row>
    <row r="86" spans="1:27" ht="45" customHeight="1">
      <c r="L86" s="24"/>
      <c r="Q86" s="194"/>
      <c r="R86" s="157"/>
      <c r="U86" s="258"/>
      <c r="V86" s="258"/>
      <c r="Y86" s="258"/>
      <c r="Z86" s="258"/>
    </row>
    <row r="87" spans="1:27" ht="45" customHeight="1">
      <c r="E87" s="26"/>
      <c r="F87" s="375" t="s">
        <v>250</v>
      </c>
      <c r="G87" s="375"/>
      <c r="H87" s="375"/>
      <c r="I87" s="375"/>
      <c r="J87" s="54">
        <v>5</v>
      </c>
      <c r="K87" s="54"/>
      <c r="L87" s="24"/>
      <c r="M87" s="378"/>
      <c r="N87" s="378"/>
      <c r="O87" s="267"/>
      <c r="P87" s="267"/>
      <c r="Q87" s="182"/>
      <c r="R87" s="157"/>
      <c r="S87" s="233"/>
      <c r="T87" s="243"/>
      <c r="U87" s="233"/>
      <c r="V87" s="233"/>
      <c r="W87" s="233"/>
      <c r="X87" s="243"/>
      <c r="Y87" s="233"/>
      <c r="Z87" s="233"/>
    </row>
    <row r="88" spans="1:27" ht="45" customHeight="1">
      <c r="E88" s="28"/>
      <c r="F88" s="288" t="s">
        <v>251</v>
      </c>
      <c r="G88" s="289" t="s">
        <v>252</v>
      </c>
      <c r="H88" s="278">
        <v>23</v>
      </c>
      <c r="I88" s="57" t="s">
        <v>251</v>
      </c>
      <c r="J88" s="29">
        <v>3</v>
      </c>
      <c r="K88" s="69"/>
      <c r="L88" s="24"/>
      <c r="M88" s="32" t="str">
        <f>IF(OR(Q88=$AC$11,Q88=$AC$12, Q88=$AC$13),K88,"")</f>
        <v/>
      </c>
      <c r="N88" s="32" t="str">
        <f>IF(Q88=AC14,K88,"")</f>
        <v/>
      </c>
      <c r="O88" s="32"/>
      <c r="P88" s="32"/>
      <c r="Q88" s="193"/>
      <c r="S88" s="290"/>
      <c r="T88" s="255"/>
      <c r="U88" s="256"/>
      <c r="V88" s="256"/>
      <c r="W88" s="290"/>
      <c r="X88" s="255"/>
      <c r="Y88" s="256"/>
      <c r="Z88" s="256"/>
    </row>
    <row r="89" spans="1:27" ht="45" customHeight="1">
      <c r="E89" s="28"/>
      <c r="F89" s="391" t="s">
        <v>253</v>
      </c>
      <c r="G89" s="362" t="s">
        <v>254</v>
      </c>
      <c r="H89" s="37">
        <v>24.1</v>
      </c>
      <c r="I89" s="57" t="s">
        <v>255</v>
      </c>
      <c r="J89" s="196" t="s">
        <v>189</v>
      </c>
      <c r="K89" s="30"/>
      <c r="L89" s="24" t="str">
        <f>IF($K$89=0,"CR","")</f>
        <v>CR</v>
      </c>
      <c r="M89" s="32" t="str">
        <f t="shared" ref="M89:M91" si="18">IF(OR(Q89=$AC$11,Q89=$AC$12, Q89=$AC$13),K89,"")</f>
        <v/>
      </c>
      <c r="N89" s="32" t="str">
        <f>IF(Q89=AC14,K89,"")</f>
        <v/>
      </c>
      <c r="O89" s="32"/>
      <c r="P89" s="32"/>
      <c r="Q89" s="193"/>
      <c r="S89" s="290"/>
      <c r="T89" s="255"/>
      <c r="U89" s="256"/>
      <c r="V89" s="256"/>
      <c r="W89" s="290"/>
      <c r="X89" s="255"/>
      <c r="Y89" s="256"/>
      <c r="Z89" s="256"/>
    </row>
    <row r="90" spans="1:27" ht="45" customHeight="1">
      <c r="E90" s="28"/>
      <c r="F90" s="391"/>
      <c r="G90" s="363"/>
      <c r="H90" s="37">
        <v>24.2</v>
      </c>
      <c r="I90" s="91" t="s">
        <v>256</v>
      </c>
      <c r="J90" s="29">
        <v>1</v>
      </c>
      <c r="K90" s="69"/>
      <c r="L90" s="24" t="str">
        <f>IF(AND(K90&gt;0,$K$89&lt;&gt;$AD$10),"!","")</f>
        <v/>
      </c>
      <c r="M90" s="32" t="str">
        <f t="shared" si="18"/>
        <v/>
      </c>
      <c r="N90" s="32" t="str">
        <f>IF(Q90=AC14,K90,"")</f>
        <v/>
      </c>
      <c r="O90" s="32"/>
      <c r="P90" s="32"/>
      <c r="Q90" s="193"/>
      <c r="S90" s="290"/>
      <c r="T90" s="255"/>
      <c r="U90" s="256"/>
      <c r="V90" s="256"/>
      <c r="W90" s="290"/>
      <c r="X90" s="255"/>
      <c r="Y90" s="256"/>
      <c r="Z90" s="256"/>
    </row>
    <row r="91" spans="1:27" ht="45" customHeight="1">
      <c r="A91" s="152">
        <v>1</v>
      </c>
      <c r="B91" s="152">
        <f>IF(C91=TRUE,A91,0)</f>
        <v>0</v>
      </c>
      <c r="C91" s="152" t="b">
        <v>0</v>
      </c>
      <c r="E91" s="28"/>
      <c r="F91" s="391"/>
      <c r="G91" s="364"/>
      <c r="H91" s="37">
        <v>24.3</v>
      </c>
      <c r="I91" s="91" t="s">
        <v>257</v>
      </c>
      <c r="J91" s="58">
        <f>IF(OR(C91=FALSE,Q91=$AC$14),A91,0)</f>
        <v>1</v>
      </c>
      <c r="K91" s="69"/>
      <c r="L91" s="24" t="str">
        <f>IF(OR(K91&gt;J91,AND(K91&gt;0,$K$89&lt;&gt;$AD$10)),"!","")</f>
        <v/>
      </c>
      <c r="M91" s="32" t="str">
        <f t="shared" si="18"/>
        <v/>
      </c>
      <c r="N91" s="32" t="str">
        <f>IF(Q91=AC14,K91,"")</f>
        <v/>
      </c>
      <c r="O91" s="32"/>
      <c r="P91" s="32"/>
      <c r="Q91" s="193"/>
      <c r="S91" s="290"/>
      <c r="T91" s="255"/>
      <c r="U91" s="256"/>
      <c r="V91" s="256"/>
      <c r="W91" s="290"/>
      <c r="X91" s="255"/>
      <c r="Y91" s="256"/>
      <c r="Z91" s="256"/>
    </row>
    <row r="92" spans="1:27" ht="45" customHeight="1">
      <c r="E92" s="44"/>
      <c r="F92" s="44" t="s">
        <v>27</v>
      </c>
      <c r="G92" s="44"/>
      <c r="H92" s="45"/>
      <c r="I92" s="44"/>
      <c r="J92" s="45">
        <f>SUM(J88:J91)</f>
        <v>5</v>
      </c>
      <c r="K92" s="45">
        <f>SUM(K88:K91)</f>
        <v>0</v>
      </c>
      <c r="L92" s="24" t="str">
        <f>IF(K92&gt;J92,"!","")</f>
        <v/>
      </c>
      <c r="M92" s="46">
        <f>SUM(M88:M91)</f>
        <v>0</v>
      </c>
      <c r="N92" s="46">
        <f>SUM(N88:N91)</f>
        <v>0</v>
      </c>
      <c r="Q92" s="194"/>
      <c r="R92" s="33"/>
      <c r="S92" s="234"/>
      <c r="T92" s="260"/>
      <c r="U92" s="260"/>
      <c r="V92" s="260"/>
      <c r="W92" s="234"/>
      <c r="X92" s="260"/>
      <c r="Y92" s="260"/>
      <c r="Z92" s="260"/>
    </row>
    <row r="93" spans="1:27" ht="45" customHeight="1">
      <c r="L93" s="24"/>
      <c r="Q93" s="194"/>
      <c r="T93" s="260"/>
      <c r="U93" s="258"/>
      <c r="V93" s="258"/>
      <c r="X93" s="260"/>
      <c r="Y93" s="258"/>
      <c r="Z93" s="258"/>
    </row>
    <row r="94" spans="1:27" ht="45" customHeight="1">
      <c r="E94" s="26"/>
      <c r="F94" s="375" t="s">
        <v>258</v>
      </c>
      <c r="G94" s="375"/>
      <c r="H94" s="375"/>
      <c r="I94" s="375"/>
      <c r="J94" s="54">
        <v>5</v>
      </c>
      <c r="K94" s="54"/>
      <c r="L94" s="24"/>
      <c r="M94" s="165"/>
      <c r="N94" s="165"/>
      <c r="O94" s="165"/>
      <c r="P94" s="165"/>
      <c r="Q94" s="182"/>
      <c r="R94" s="33"/>
      <c r="S94" s="233"/>
      <c r="T94" s="243"/>
      <c r="U94" s="233"/>
      <c r="V94" s="233"/>
      <c r="W94" s="233"/>
      <c r="X94" s="243"/>
      <c r="Y94" s="233"/>
      <c r="Z94" s="233"/>
    </row>
    <row r="95" spans="1:27" ht="45" customHeight="1">
      <c r="E95" s="28"/>
      <c r="F95" s="358" t="s">
        <v>259</v>
      </c>
      <c r="G95" s="363" t="s">
        <v>260</v>
      </c>
      <c r="H95" s="88">
        <v>25.1</v>
      </c>
      <c r="I95" s="57" t="s">
        <v>261</v>
      </c>
      <c r="J95" s="35">
        <v>1</v>
      </c>
      <c r="K95" s="90"/>
      <c r="L95" s="24"/>
      <c r="M95" s="32" t="str">
        <f>IF(OR(Q95=$AC$11,Q95=$AC$12,Q95=$AC$13),K95,"")</f>
        <v/>
      </c>
      <c r="N95" s="32" t="str">
        <f>IF(Q95=AC14,K95,"")</f>
        <v/>
      </c>
      <c r="O95" s="32"/>
      <c r="P95" s="32"/>
      <c r="Q95" s="193"/>
      <c r="R95" s="9"/>
      <c r="S95" s="290"/>
      <c r="T95" s="255"/>
      <c r="U95" s="256"/>
      <c r="V95" s="256"/>
      <c r="W95" s="290"/>
      <c r="X95" s="255"/>
      <c r="Y95" s="256"/>
      <c r="Z95" s="256"/>
    </row>
    <row r="96" spans="1:27" ht="45" customHeight="1">
      <c r="E96" s="28"/>
      <c r="F96" s="391"/>
      <c r="G96" s="364"/>
      <c r="H96" s="37">
        <v>25.2</v>
      </c>
      <c r="I96" s="57" t="s">
        <v>262</v>
      </c>
      <c r="J96" s="29">
        <v>1</v>
      </c>
      <c r="K96" s="69"/>
      <c r="L96" s="24"/>
      <c r="M96" s="32" t="str">
        <f t="shared" ref="M96:M100" si="19">IF(OR(Q96=$AC$11,Q96=$AC$12,Q96=$AC$13),K96,"")</f>
        <v/>
      </c>
      <c r="N96" s="32" t="str">
        <f>IF(Q96=AC14,K96,"")</f>
        <v/>
      </c>
      <c r="O96" s="32"/>
      <c r="P96" s="32"/>
      <c r="Q96" s="193"/>
      <c r="R96" s="9"/>
      <c r="S96" s="290"/>
      <c r="T96" s="255"/>
      <c r="U96" s="256"/>
      <c r="V96" s="256"/>
      <c r="W96" s="290"/>
      <c r="X96" s="255"/>
      <c r="Y96" s="256"/>
      <c r="Z96" s="256"/>
    </row>
    <row r="97" spans="1:26" ht="45" customHeight="1">
      <c r="E97" s="28"/>
      <c r="F97" s="391" t="s">
        <v>263</v>
      </c>
      <c r="G97" s="362" t="s">
        <v>264</v>
      </c>
      <c r="H97" s="37">
        <v>26.1</v>
      </c>
      <c r="I97" s="91" t="s">
        <v>265</v>
      </c>
      <c r="J97" s="196" t="s">
        <v>144</v>
      </c>
      <c r="K97" s="30"/>
      <c r="L97" s="24"/>
      <c r="M97" s="32" t="str">
        <f t="shared" si="19"/>
        <v/>
      </c>
      <c r="N97" s="32" t="str">
        <f>IF(Q97=AC14,K97,"")</f>
        <v/>
      </c>
      <c r="O97" s="32"/>
      <c r="P97" s="32"/>
      <c r="Q97" s="193"/>
      <c r="R97" s="9"/>
      <c r="S97" s="290"/>
      <c r="T97" s="255"/>
      <c r="U97" s="256"/>
      <c r="V97" s="256"/>
      <c r="W97" s="290"/>
      <c r="X97" s="255"/>
      <c r="Y97" s="256"/>
      <c r="Z97" s="256"/>
    </row>
    <row r="98" spans="1:26" ht="45" customHeight="1">
      <c r="E98" s="28"/>
      <c r="F98" s="391"/>
      <c r="G98" s="364"/>
      <c r="H98" s="39">
        <v>26.2</v>
      </c>
      <c r="I98" s="91" t="s">
        <v>266</v>
      </c>
      <c r="J98" s="29">
        <v>1</v>
      </c>
      <c r="K98" s="69"/>
      <c r="L98" s="24" t="str">
        <f>IF(AND(K98&gt;0,$K97&lt;&gt;$AD$10),"!","")</f>
        <v/>
      </c>
      <c r="M98" s="32" t="str">
        <f t="shared" si="19"/>
        <v/>
      </c>
      <c r="N98" s="32" t="str">
        <f>IF(Q98=AC14,K98,"")</f>
        <v/>
      </c>
      <c r="O98" s="32"/>
      <c r="P98" s="32"/>
      <c r="Q98" s="193"/>
      <c r="R98" s="9"/>
      <c r="S98" s="290"/>
      <c r="T98" s="255"/>
      <c r="U98" s="256"/>
      <c r="V98" s="256"/>
      <c r="W98" s="290"/>
      <c r="X98" s="255"/>
      <c r="Y98" s="256"/>
      <c r="Z98" s="256"/>
    </row>
    <row r="99" spans="1:26" ht="45" customHeight="1">
      <c r="E99" s="28"/>
      <c r="F99" s="184" t="s">
        <v>267</v>
      </c>
      <c r="G99" s="268" t="s">
        <v>268</v>
      </c>
      <c r="H99" s="278">
        <v>27</v>
      </c>
      <c r="I99" s="60" t="s">
        <v>269</v>
      </c>
      <c r="J99" s="29">
        <v>1</v>
      </c>
      <c r="K99" s="69"/>
      <c r="L99" s="24"/>
      <c r="M99" s="32" t="str">
        <f t="shared" si="19"/>
        <v/>
      </c>
      <c r="N99" s="32" t="str">
        <f>IF(Q99=AC14,K99,"")</f>
        <v/>
      </c>
      <c r="O99" s="32"/>
      <c r="P99" s="32"/>
      <c r="Q99" s="193"/>
      <c r="R99" s="9"/>
      <c r="S99" s="290"/>
      <c r="T99" s="255"/>
      <c r="U99" s="256"/>
      <c r="V99" s="256"/>
      <c r="W99" s="290"/>
      <c r="X99" s="255"/>
      <c r="Y99" s="256"/>
      <c r="Z99" s="256"/>
    </row>
    <row r="100" spans="1:26" ht="45" customHeight="1">
      <c r="A100" s="152">
        <v>1</v>
      </c>
      <c r="B100" s="152">
        <f>IF(C100=TRUE,A100,0)</f>
        <v>0</v>
      </c>
      <c r="C100" s="152" t="b">
        <v>0</v>
      </c>
      <c r="E100" s="28"/>
      <c r="F100" s="95" t="s">
        <v>270</v>
      </c>
      <c r="G100" s="269" t="s">
        <v>271</v>
      </c>
      <c r="H100" s="279">
        <v>28</v>
      </c>
      <c r="I100" s="60" t="s">
        <v>272</v>
      </c>
      <c r="J100" s="58">
        <f>IF(OR(C100=FALSE,Q100=$AC$14),A100,0)</f>
        <v>1</v>
      </c>
      <c r="K100" s="94"/>
      <c r="L100" s="24" t="str">
        <f t="shared" ref="L100" si="20">IF(K100&gt;J100,"!","")</f>
        <v/>
      </c>
      <c r="M100" s="32" t="str">
        <f t="shared" si="19"/>
        <v/>
      </c>
      <c r="N100" s="32" t="str">
        <f>IF(Q100=AC14,K100,"")</f>
        <v/>
      </c>
      <c r="O100" s="32"/>
      <c r="P100" s="32"/>
      <c r="Q100" s="193"/>
      <c r="R100" s="9"/>
      <c r="S100" s="290"/>
      <c r="T100" s="255"/>
      <c r="U100" s="256"/>
      <c r="V100" s="256"/>
      <c r="W100" s="290"/>
      <c r="X100" s="255"/>
      <c r="Y100" s="256"/>
      <c r="Z100" s="256"/>
    </row>
    <row r="101" spans="1:26" ht="45" customHeight="1">
      <c r="E101" s="44"/>
      <c r="F101" s="44" t="s">
        <v>27</v>
      </c>
      <c r="G101" s="44"/>
      <c r="H101" s="45"/>
      <c r="I101" s="44"/>
      <c r="J101" s="45">
        <f>SUM(J95:J100)</f>
        <v>5</v>
      </c>
      <c r="K101" s="45">
        <f>SUM(K95:K100)</f>
        <v>0</v>
      </c>
      <c r="L101" s="24" t="str">
        <f>IF(K101&gt;J101,"!","")</f>
        <v/>
      </c>
      <c r="M101" s="46">
        <f>SUM(M95:M100)</f>
        <v>0</v>
      </c>
      <c r="N101" s="46">
        <f t="shared" ref="N101" si="21">SUM(N95:N100)</f>
        <v>0</v>
      </c>
      <c r="O101" s="6"/>
      <c r="P101" s="6"/>
      <c r="Q101" s="195"/>
      <c r="R101" s="9"/>
      <c r="S101" s="236"/>
      <c r="T101" s="9"/>
      <c r="U101" s="262"/>
      <c r="V101" s="262"/>
      <c r="W101" s="236"/>
      <c r="X101" s="9"/>
      <c r="Y101" s="262"/>
      <c r="Z101" s="262"/>
    </row>
    <row r="102" spans="1:26" ht="45" customHeight="1">
      <c r="F102" s="62"/>
      <c r="G102" s="62"/>
      <c r="H102" s="6"/>
      <c r="I102" s="62"/>
      <c r="J102" s="6"/>
      <c r="K102" s="6"/>
      <c r="L102" s="24"/>
      <c r="M102" s="6"/>
      <c r="N102" s="6"/>
      <c r="O102" s="6"/>
      <c r="P102" s="6"/>
      <c r="Q102" s="195"/>
      <c r="R102" s="9"/>
      <c r="S102" s="236"/>
      <c r="T102" s="9"/>
      <c r="U102" s="262"/>
      <c r="V102" s="262"/>
      <c r="W102" s="236"/>
      <c r="X102" s="9"/>
      <c r="Y102" s="262"/>
      <c r="Z102" s="262"/>
    </row>
    <row r="103" spans="1:26" ht="45" customHeight="1">
      <c r="E103" s="26"/>
      <c r="F103" s="375" t="s">
        <v>273</v>
      </c>
      <c r="G103" s="375"/>
      <c r="H103" s="375"/>
      <c r="I103" s="375"/>
      <c r="J103" s="54">
        <v>10</v>
      </c>
      <c r="K103" s="96"/>
      <c r="L103" s="24"/>
      <c r="M103" s="97"/>
      <c r="N103" s="97"/>
      <c r="O103" s="97"/>
      <c r="P103" s="97"/>
      <c r="Q103" s="183"/>
      <c r="R103" s="65"/>
      <c r="S103" s="237"/>
      <c r="T103" s="243"/>
      <c r="U103" s="237"/>
      <c r="V103" s="237"/>
      <c r="W103" s="237"/>
      <c r="X103" s="243"/>
      <c r="Y103" s="237"/>
      <c r="Z103" s="237"/>
    </row>
    <row r="104" spans="1:26" ht="57.6" customHeight="1">
      <c r="E104" s="28"/>
      <c r="F104" s="185" t="s">
        <v>274</v>
      </c>
      <c r="G104" s="98" t="s">
        <v>275</v>
      </c>
      <c r="H104" s="35">
        <v>29.1</v>
      </c>
      <c r="I104" s="188" t="s">
        <v>274</v>
      </c>
      <c r="J104" s="390">
        <v>10</v>
      </c>
      <c r="K104" s="90"/>
      <c r="L104" s="24"/>
      <c r="M104" s="32" t="str">
        <f t="shared" ref="M104:M107" si="22">IF(OR(Q104=$AC$11, Q104=$AC$12,Q104=$AC$13),K104,"")</f>
        <v/>
      </c>
      <c r="N104" s="32" t="str">
        <f>IF(Q104=AC14,K104,"")</f>
        <v/>
      </c>
      <c r="O104" s="32"/>
      <c r="P104" s="32"/>
      <c r="Q104" s="193"/>
      <c r="R104" s="65"/>
      <c r="S104" s="290"/>
      <c r="T104" s="255"/>
      <c r="U104" s="256"/>
      <c r="V104" s="256"/>
      <c r="W104" s="290"/>
      <c r="X104" s="255"/>
      <c r="Y104" s="256"/>
      <c r="Z104" s="256"/>
    </row>
    <row r="105" spans="1:26" ht="69">
      <c r="E105" s="28"/>
      <c r="F105" s="184" t="s">
        <v>276</v>
      </c>
      <c r="G105" s="43" t="s">
        <v>277</v>
      </c>
      <c r="H105" s="29">
        <v>29.2</v>
      </c>
      <c r="I105" s="38" t="s">
        <v>276</v>
      </c>
      <c r="J105" s="390"/>
      <c r="K105" s="90"/>
      <c r="L105" s="24"/>
      <c r="M105" s="32" t="str">
        <f t="shared" si="22"/>
        <v/>
      </c>
      <c r="N105" s="32" t="str">
        <f>IF(Q105=AC14,K105,"")</f>
        <v/>
      </c>
      <c r="O105" s="32"/>
      <c r="P105" s="32"/>
      <c r="Q105" s="193"/>
      <c r="R105" s="65"/>
      <c r="S105" s="290"/>
      <c r="T105" s="255"/>
      <c r="U105" s="256"/>
      <c r="V105" s="256"/>
      <c r="W105" s="290"/>
      <c r="X105" s="255"/>
      <c r="Y105" s="256"/>
      <c r="Z105" s="256"/>
    </row>
    <row r="106" spans="1:26" ht="96.6">
      <c r="E106" s="28"/>
      <c r="F106" s="184" t="s">
        <v>278</v>
      </c>
      <c r="G106" s="43" t="s">
        <v>279</v>
      </c>
      <c r="H106" s="29">
        <v>29.3</v>
      </c>
      <c r="I106" s="38" t="s">
        <v>278</v>
      </c>
      <c r="J106" s="390"/>
      <c r="K106" s="90"/>
      <c r="L106" s="24"/>
      <c r="M106" s="32" t="str">
        <f t="shared" si="22"/>
        <v/>
      </c>
      <c r="N106" s="32" t="str">
        <f>IF(Q106=AC14,K106,"")</f>
        <v/>
      </c>
      <c r="O106" s="32"/>
      <c r="P106" s="32"/>
      <c r="Q106" s="193"/>
      <c r="R106" s="65"/>
      <c r="S106" s="290"/>
      <c r="T106" s="255"/>
      <c r="U106" s="256"/>
      <c r="V106" s="256"/>
      <c r="W106" s="290"/>
      <c r="X106" s="255"/>
      <c r="Y106" s="256"/>
      <c r="Z106" s="256"/>
    </row>
    <row r="107" spans="1:26" ht="96.6">
      <c r="E107" s="28"/>
      <c r="F107" s="184" t="s">
        <v>280</v>
      </c>
      <c r="G107" s="43" t="s">
        <v>281</v>
      </c>
      <c r="H107" s="29">
        <v>29.4</v>
      </c>
      <c r="I107" s="38" t="s">
        <v>280</v>
      </c>
      <c r="J107" s="390"/>
      <c r="K107" s="90"/>
      <c r="L107" s="24"/>
      <c r="M107" s="32" t="str">
        <f t="shared" si="22"/>
        <v/>
      </c>
      <c r="N107" s="32" t="str">
        <f>IF(Q107=AC14,K107,"")</f>
        <v/>
      </c>
      <c r="O107" s="32"/>
      <c r="P107" s="32"/>
      <c r="Q107" s="193"/>
      <c r="R107" s="65"/>
      <c r="S107" s="290"/>
      <c r="T107" s="255"/>
      <c r="U107" s="256"/>
      <c r="V107" s="256"/>
      <c r="W107" s="290"/>
      <c r="X107" s="255"/>
      <c r="Y107" s="256"/>
      <c r="Z107" s="256"/>
    </row>
    <row r="108" spans="1:26" ht="55.15">
      <c r="E108" s="28"/>
      <c r="F108" s="186" t="s">
        <v>282</v>
      </c>
      <c r="G108" s="99" t="s">
        <v>283</v>
      </c>
      <c r="H108" s="61">
        <v>29.5</v>
      </c>
      <c r="I108" s="187" t="s">
        <v>282</v>
      </c>
      <c r="J108" s="390"/>
      <c r="K108" s="90"/>
      <c r="L108" s="24"/>
      <c r="M108" s="32" t="str">
        <f>IF(OR(Q108=$AC$11, Q108=$AC$12,Q108=$AC$13),K108,"")</f>
        <v/>
      </c>
      <c r="N108" s="32" t="str">
        <f>IF(Q108=AC14,K108,"")</f>
        <v/>
      </c>
      <c r="O108" s="32"/>
      <c r="P108" s="32"/>
      <c r="Q108" s="193"/>
      <c r="R108" s="65"/>
      <c r="S108" s="290"/>
      <c r="T108" s="255"/>
      <c r="U108" s="256"/>
      <c r="V108" s="256"/>
      <c r="W108" s="290"/>
      <c r="X108" s="255"/>
      <c r="Y108" s="256"/>
      <c r="Z108" s="256"/>
    </row>
    <row r="109" spans="1:26" ht="45" customHeight="1">
      <c r="E109" s="44"/>
      <c r="F109" s="44" t="s">
        <v>27</v>
      </c>
      <c r="G109" s="44"/>
      <c r="H109" s="45"/>
      <c r="I109" s="44"/>
      <c r="J109" s="45">
        <f>SUM(J104)</f>
        <v>10</v>
      </c>
      <c r="K109" s="45">
        <f>IF(SUM(K104:K108)&gt;10,10,SUM(K104:K108))</f>
        <v>0</v>
      </c>
      <c r="L109" s="24" t="str">
        <f>IF(K109&gt;J109,"!","")</f>
        <v/>
      </c>
      <c r="M109" s="46">
        <f t="shared" ref="M109:N109" si="23">SUM(M104:M108)</f>
        <v>0</v>
      </c>
      <c r="N109" s="46">
        <f t="shared" si="23"/>
        <v>0</v>
      </c>
      <c r="T109" s="228"/>
      <c r="U109" s="228"/>
      <c r="V109" s="228"/>
      <c r="X109" s="228"/>
      <c r="Y109" s="228"/>
      <c r="Z109" s="228"/>
    </row>
    <row r="110" spans="1:26" ht="45" customHeight="1">
      <c r="F110" s="62"/>
      <c r="G110" s="62"/>
      <c r="H110" s="6"/>
      <c r="I110" s="62"/>
      <c r="J110" s="6"/>
      <c r="K110" s="6"/>
      <c r="L110" s="24"/>
      <c r="M110" s="6"/>
      <c r="N110" s="6"/>
      <c r="O110" s="6"/>
      <c r="P110" s="6"/>
      <c r="U110" s="228"/>
      <c r="V110" s="228"/>
      <c r="Y110" s="228"/>
      <c r="Z110" s="228"/>
    </row>
    <row r="111" spans="1:26" ht="45" customHeight="1">
      <c r="B111" s="155" t="s">
        <v>284</v>
      </c>
      <c r="F111" s="120"/>
      <c r="G111" s="120"/>
      <c r="H111" s="47"/>
      <c r="I111" s="117" t="s">
        <v>285</v>
      </c>
      <c r="J111" s="14" t="s">
        <v>286</v>
      </c>
      <c r="K111" s="14" t="s">
        <v>287</v>
      </c>
      <c r="L111" s="24"/>
      <c r="M111" s="14" t="s">
        <v>288</v>
      </c>
      <c r="N111" s="14" t="s">
        <v>289</v>
      </c>
      <c r="S111" s="238"/>
      <c r="T111" s="65"/>
      <c r="U111" s="238"/>
      <c r="V111" s="238"/>
      <c r="W111" s="238"/>
      <c r="X111" s="65"/>
      <c r="Y111" s="238"/>
      <c r="Z111" s="238"/>
    </row>
    <row r="112" spans="1:26" ht="45" customHeight="1">
      <c r="B112" s="152">
        <f>SUM(B9:B100)</f>
        <v>0</v>
      </c>
      <c r="F112" s="22"/>
      <c r="G112" s="22"/>
      <c r="H112" s="6"/>
      <c r="I112" s="23" t="s">
        <v>290</v>
      </c>
      <c r="J112" s="123">
        <f>SUM(J26+J46+J53+J62+J71+J85+J92+J101)</f>
        <v>100</v>
      </c>
      <c r="K112" s="124">
        <f>K26+K46+K53+K62+K71+K85+K92+K101</f>
        <v>0</v>
      </c>
      <c r="L112" s="24"/>
      <c r="M112" s="124">
        <f>(M26+M46+M53+M62+M71+M85+M92+M101)/$J$112*100+M109</f>
        <v>0</v>
      </c>
      <c r="N112" s="124">
        <f>(N26+N46+N53+N62+N71+N85+N92+N101)/$J$112*100+N109</f>
        <v>0</v>
      </c>
      <c r="S112" s="239"/>
      <c r="T112" s="9"/>
      <c r="U112" s="239"/>
      <c r="V112" s="239"/>
      <c r="W112" s="239"/>
      <c r="X112" s="9"/>
      <c r="Y112" s="239"/>
      <c r="Z112" s="239"/>
    </row>
    <row r="113" spans="4:26" ht="45" customHeight="1">
      <c r="F113" s="22"/>
      <c r="G113" s="22"/>
      <c r="H113" s="133"/>
      <c r="I113" s="23" t="s">
        <v>291</v>
      </c>
      <c r="J113" s="121"/>
      <c r="K113" s="136">
        <f>K112/J112*100</f>
        <v>0</v>
      </c>
      <c r="L113" s="24"/>
      <c r="M113" s="132"/>
      <c r="N113" s="132"/>
      <c r="S113" s="239"/>
      <c r="T113" s="9"/>
      <c r="U113" s="239"/>
      <c r="V113" s="239"/>
      <c r="W113" s="239"/>
      <c r="X113" s="9"/>
      <c r="Y113" s="239"/>
      <c r="Z113" s="239"/>
    </row>
    <row r="114" spans="4:26" ht="45" customHeight="1">
      <c r="F114" s="22"/>
      <c r="G114" s="22"/>
      <c r="H114" s="6"/>
      <c r="I114" s="23" t="s">
        <v>292</v>
      </c>
      <c r="J114" s="123">
        <v>10</v>
      </c>
      <c r="K114" s="124">
        <f>K109</f>
        <v>0</v>
      </c>
      <c r="L114" s="24"/>
      <c r="M114" s="132"/>
      <c r="N114" s="132"/>
      <c r="S114" s="239"/>
      <c r="T114" s="9"/>
      <c r="U114" s="239"/>
      <c r="V114" s="239"/>
      <c r="W114" s="239"/>
      <c r="X114" s="9"/>
      <c r="Y114" s="239"/>
      <c r="Z114" s="239"/>
    </row>
    <row r="115" spans="4:26" ht="45" customHeight="1">
      <c r="I115" s="23" t="s">
        <v>293</v>
      </c>
      <c r="J115" s="122"/>
      <c r="K115" s="136">
        <f>K113+K114</f>
        <v>0</v>
      </c>
      <c r="L115" s="24"/>
      <c r="M115" s="132"/>
      <c r="N115" s="132"/>
      <c r="U115" s="228"/>
      <c r="V115" s="228"/>
      <c r="Y115" s="228"/>
      <c r="Z115" s="228"/>
    </row>
    <row r="116" spans="4:26">
      <c r="L116" s="24"/>
      <c r="U116" s="228"/>
      <c r="V116" s="228"/>
      <c r="Y116" s="228"/>
      <c r="Z116" s="228"/>
    </row>
    <row r="117" spans="4:26">
      <c r="L117" s="24"/>
      <c r="U117" s="228"/>
      <c r="V117" s="228"/>
      <c r="Y117" s="228"/>
      <c r="Z117" s="228"/>
    </row>
    <row r="118" spans="4:26">
      <c r="L118" s="24"/>
      <c r="U118" s="228"/>
      <c r="V118" s="228"/>
      <c r="Y118" s="228"/>
      <c r="Z118" s="228"/>
    </row>
    <row r="119" spans="4:26">
      <c r="U119" s="228"/>
      <c r="V119" s="228"/>
      <c r="Y119" s="228"/>
      <c r="Z119" s="228"/>
    </row>
    <row r="120" spans="4:26" ht="38.25" hidden="1" customHeight="1">
      <c r="D120" s="8" t="s">
        <v>14</v>
      </c>
      <c r="O120" s="163" t="s">
        <v>294</v>
      </c>
      <c r="P120" s="216" t="s">
        <v>295</v>
      </c>
      <c r="Q120" s="166" t="s">
        <v>296</v>
      </c>
      <c r="R120" s="216" t="s">
        <v>297</v>
      </c>
      <c r="U120" s="228"/>
      <c r="V120" s="228"/>
      <c r="Y120" s="228"/>
      <c r="Z120" s="228"/>
    </row>
    <row r="121" spans="4:26" ht="38.25" hidden="1" customHeight="1">
      <c r="D121" s="8" t="s">
        <v>14</v>
      </c>
      <c r="N121" s="221" t="s">
        <v>120</v>
      </c>
      <c r="O121" s="222"/>
      <c r="P121" s="217">
        <f>COUNTIF(P9:P100,"Core")</f>
        <v>0</v>
      </c>
      <c r="Q121" s="218">
        <f>COUNTIF(Q9:Q100,"Not Awarded - Major Non-compliance")</f>
        <v>0</v>
      </c>
      <c r="R121" s="223"/>
      <c r="U121" s="228"/>
      <c r="V121" s="228"/>
      <c r="Y121" s="228"/>
      <c r="Z121" s="228"/>
    </row>
    <row r="122" spans="4:26" ht="38.25" hidden="1" customHeight="1">
      <c r="D122" s="8" t="s">
        <v>14</v>
      </c>
      <c r="N122" s="221" t="s">
        <v>298</v>
      </c>
      <c r="O122" s="217">
        <f>COUNTIF(O9:O100,"Stage 1")</f>
        <v>0</v>
      </c>
      <c r="P122" s="217">
        <f>COUNTIF(P9:P100,"Stage 1")</f>
        <v>0</v>
      </c>
      <c r="Q122" s="218">
        <f>COUNTIF(Q9:Q100,"Not Awarded - Major Non-compliance")</f>
        <v>0</v>
      </c>
      <c r="R122" s="219" t="str">
        <f>IF(Q122&gt;P122*0.5, "Go to Stage 2", "Assessment Complete")</f>
        <v>Assessment Complete</v>
      </c>
      <c r="U122" s="228"/>
      <c r="V122" s="228"/>
      <c r="Y122" s="228"/>
      <c r="Z122" s="228"/>
    </row>
    <row r="123" spans="4:26" ht="38.25" hidden="1" customHeight="1">
      <c r="D123" s="8" t="s">
        <v>14</v>
      </c>
      <c r="N123" s="221" t="s">
        <v>129</v>
      </c>
      <c r="O123" s="217">
        <f>COUNTIF(O9:O100,"Stage 2")</f>
        <v>0</v>
      </c>
      <c r="P123" s="217">
        <f>COUNTIF(P9:P100,"Stage 2")</f>
        <v>0</v>
      </c>
      <c r="Q123" s="218">
        <f>COUNTIF(Q9:Q100,"Not Awarded - Major Non-compliance")</f>
        <v>0</v>
      </c>
      <c r="R123" s="219" t="str">
        <f>IF(AND(R122="Go to Stage 2", P123=0),R122,IF(Q123&gt;SUM(P122:P123)*0.5,"Go to Stage 3","Assessment Complete"))</f>
        <v>Assessment Complete</v>
      </c>
      <c r="U123" s="228"/>
      <c r="V123" s="228"/>
      <c r="Y123" s="228"/>
      <c r="Z123" s="228"/>
    </row>
    <row r="124" spans="4:26" ht="38.25" hidden="1" customHeight="1">
      <c r="D124" s="8" t="s">
        <v>14</v>
      </c>
      <c r="N124" s="227" t="s">
        <v>299</v>
      </c>
      <c r="O124" s="217">
        <f>COUNTIF(O9:O100,"Stage 3")</f>
        <v>0</v>
      </c>
      <c r="P124" s="217">
        <f>COUNTIF(P9:P100,"Stage 3")</f>
        <v>0</v>
      </c>
      <c r="Q124" s="218">
        <f>COUNTIF(Q9:Q100,"Not Awarded - Major Non-compliance")</f>
        <v>0</v>
      </c>
      <c r="R124" s="224"/>
      <c r="U124" s="228"/>
      <c r="V124" s="228"/>
      <c r="Y124" s="228"/>
      <c r="Z124" s="228"/>
    </row>
    <row r="125" spans="4:26" ht="38.25" hidden="1" customHeight="1">
      <c r="D125" s="8" t="s">
        <v>14</v>
      </c>
      <c r="O125" s="225"/>
      <c r="P125" s="226"/>
      <c r="Q125" s="220">
        <f>COUNTIF(Q9:Q100,"Awarded - Compliant")+COUNTIF(Q9:Q100,"Awarded - Minor non-Compliance")+COUNTIF(Q9:Q100,"Not Awarded - Major non-compliance")</f>
        <v>0</v>
      </c>
      <c r="R125" s="219" t="str">
        <f>IF(R122="Assessment Complete",R122,IF(R123="Assessment Complete",R123,IF(P121&gt;=1,R123,"Assessment Complete")))</f>
        <v>Assessment Complete</v>
      </c>
      <c r="U125" s="228"/>
      <c r="V125" s="228"/>
      <c r="Y125" s="228"/>
      <c r="Z125" s="228"/>
    </row>
    <row r="126" spans="4:26">
      <c r="O126" s="162"/>
      <c r="P126" s="162"/>
      <c r="Q126" s="180"/>
      <c r="R126" s="52"/>
      <c r="U126" s="228"/>
      <c r="V126" s="228"/>
      <c r="Y126" s="228"/>
      <c r="Z126" s="228"/>
    </row>
    <row r="127" spans="4:26">
      <c r="U127" s="228"/>
      <c r="V127" s="228"/>
      <c r="Y127" s="228"/>
      <c r="Z127" s="228"/>
    </row>
    <row r="128" spans="4:26">
      <c r="U128" s="228"/>
      <c r="V128" s="228"/>
      <c r="Y128" s="228"/>
      <c r="Z128" s="228"/>
    </row>
    <row r="129" spans="21:26">
      <c r="U129" s="228"/>
      <c r="V129" s="228"/>
      <c r="Y129" s="228"/>
      <c r="Z129" s="228"/>
    </row>
    <row r="130" spans="21:26">
      <c r="U130" s="228"/>
      <c r="V130" s="228"/>
      <c r="Y130" s="228"/>
      <c r="Z130" s="228"/>
    </row>
    <row r="131" spans="21:26">
      <c r="U131" s="228"/>
      <c r="V131" s="228"/>
      <c r="Y131" s="228"/>
      <c r="Z131" s="228"/>
    </row>
  </sheetData>
  <sheetProtection algorithmName="SHA-512" hashValue="O1sUAZXr1swnj/kGxoYkpZ+89UJlbxiMsQm6MwonNP6rzfP08KwMiyqGjF5ElZpJYBnaxZoyiScp2AMYvrsvJw==" saltValue="9GFFM+6ZG7QGrRkTKKKLPA==" spinCount="100000" sheet="1" objects="1" scenarios="1"/>
  <mergeCells count="71">
    <mergeCell ref="F1:I1"/>
    <mergeCell ref="S1:V1"/>
    <mergeCell ref="W1:Z1"/>
    <mergeCell ref="F2:F3"/>
    <mergeCell ref="G2:H3"/>
    <mergeCell ref="J2:J3"/>
    <mergeCell ref="K2:K3"/>
    <mergeCell ref="M2:M3"/>
    <mergeCell ref="N2:N3"/>
    <mergeCell ref="T2:V2"/>
    <mergeCell ref="F13:F15"/>
    <mergeCell ref="G13:G15"/>
    <mergeCell ref="X2:Z2"/>
    <mergeCell ref="T3:V3"/>
    <mergeCell ref="X3:Z3"/>
    <mergeCell ref="G4:H4"/>
    <mergeCell ref="T4:V4"/>
    <mergeCell ref="X4:Z4"/>
    <mergeCell ref="F5:G5"/>
    <mergeCell ref="X5:Z5"/>
    <mergeCell ref="T6:V6"/>
    <mergeCell ref="F10:F12"/>
    <mergeCell ref="G10:G12"/>
    <mergeCell ref="F32:F34"/>
    <mergeCell ref="G32:G34"/>
    <mergeCell ref="F17:F18"/>
    <mergeCell ref="G17:G18"/>
    <mergeCell ref="F19:F20"/>
    <mergeCell ref="G19:G20"/>
    <mergeCell ref="F21:F23"/>
    <mergeCell ref="G21:G23"/>
    <mergeCell ref="F24:F25"/>
    <mergeCell ref="G24:G25"/>
    <mergeCell ref="F28:I28"/>
    <mergeCell ref="F29:F31"/>
    <mergeCell ref="G29:G31"/>
    <mergeCell ref="F51:F52"/>
    <mergeCell ref="G51:G52"/>
    <mergeCell ref="F35:F38"/>
    <mergeCell ref="G35:G38"/>
    <mergeCell ref="F39:F41"/>
    <mergeCell ref="G39:G41"/>
    <mergeCell ref="F42:F43"/>
    <mergeCell ref="G42:G43"/>
    <mergeCell ref="F44:F45"/>
    <mergeCell ref="G44:G45"/>
    <mergeCell ref="F48:I48"/>
    <mergeCell ref="F49:F50"/>
    <mergeCell ref="G49:G50"/>
    <mergeCell ref="M87:N87"/>
    <mergeCell ref="F56:F61"/>
    <mergeCell ref="G56:G61"/>
    <mergeCell ref="F65:F70"/>
    <mergeCell ref="G65:G70"/>
    <mergeCell ref="F74:F77"/>
    <mergeCell ref="G74:G75"/>
    <mergeCell ref="G76:G77"/>
    <mergeCell ref="F78:F80"/>
    <mergeCell ref="G78:G80"/>
    <mergeCell ref="F82:F84"/>
    <mergeCell ref="G83:G84"/>
    <mergeCell ref="F87:I87"/>
    <mergeCell ref="F103:I103"/>
    <mergeCell ref="J104:J108"/>
    <mergeCell ref="F89:F91"/>
    <mergeCell ref="G89:G91"/>
    <mergeCell ref="F94:I94"/>
    <mergeCell ref="F95:F96"/>
    <mergeCell ref="G95:G96"/>
    <mergeCell ref="F97:F98"/>
    <mergeCell ref="G97:G98"/>
  </mergeCells>
  <conditionalFormatting sqref="E9:E10">
    <cfRule type="expression" dxfId="163" priority="41">
      <formula>$C9=TRUE</formula>
    </cfRule>
  </conditionalFormatting>
  <conditionalFormatting sqref="E29:E45">
    <cfRule type="expression" dxfId="162" priority="50">
      <formula>$C29=TRUE</formula>
    </cfRule>
  </conditionalFormatting>
  <conditionalFormatting sqref="E49:E52 E74:E84 E88:E91">
    <cfRule type="expression" dxfId="161" priority="57">
      <formula>$C49=TRUE</formula>
    </cfRule>
  </conditionalFormatting>
  <conditionalFormatting sqref="E65:E70">
    <cfRule type="expression" dxfId="160" priority="48">
      <formula>$C65=TRUE</formula>
    </cfRule>
  </conditionalFormatting>
  <conditionalFormatting sqref="E95:E100">
    <cfRule type="expression" dxfId="159" priority="43">
      <formula>$C95=TRUE</formula>
    </cfRule>
  </conditionalFormatting>
  <conditionalFormatting sqref="E104:E108">
    <cfRule type="expression" dxfId="158" priority="47">
      <formula>$C104=TRUE</formula>
    </cfRule>
  </conditionalFormatting>
  <conditionalFormatting sqref="E7:W115">
    <cfRule type="expression" dxfId="157" priority="1">
      <formula>$H$5&lt;&gt;"No"</formula>
    </cfRule>
  </conditionalFormatting>
  <conditionalFormatting sqref="G53">
    <cfRule type="expression" dxfId="156" priority="59">
      <formula>$J$52=0</formula>
    </cfRule>
  </conditionalFormatting>
  <conditionalFormatting sqref="H56:I57">
    <cfRule type="expression" dxfId="155" priority="44">
      <formula>#REF!&lt;&gt;#REF!</formula>
    </cfRule>
  </conditionalFormatting>
  <conditionalFormatting sqref="H78:I78 K78">
    <cfRule type="expression" dxfId="154" priority="54">
      <formula>$C$78=TRUE</formula>
    </cfRule>
  </conditionalFormatting>
  <conditionalFormatting sqref="H79:I79 K79">
    <cfRule type="expression" dxfId="153" priority="53">
      <formula>$C$79=TRUE</formula>
    </cfRule>
  </conditionalFormatting>
  <conditionalFormatting sqref="H80:I80 K80">
    <cfRule type="expression" dxfId="152" priority="52">
      <formula>$C$80=TRUE</formula>
    </cfRule>
  </conditionalFormatting>
  <conditionalFormatting sqref="H91:I91 K91">
    <cfRule type="expression" dxfId="151" priority="42">
      <formula>$C$91=TRUE</formula>
    </cfRule>
  </conditionalFormatting>
  <conditionalFormatting sqref="H100:I100 K100">
    <cfRule type="expression" dxfId="150" priority="55">
      <formula>$C$100=TRUE</formula>
    </cfRule>
  </conditionalFormatting>
  <conditionalFormatting sqref="H49:J49 H50:K50">
    <cfRule type="expression" dxfId="149" priority="51">
      <formula>#REF!&lt;&gt;#REF!</formula>
    </cfRule>
  </conditionalFormatting>
  <conditionalFormatting sqref="H56:J56 H57:K61">
    <cfRule type="expression" dxfId="148" priority="76">
      <formula>$G$56=$AA$59</formula>
    </cfRule>
  </conditionalFormatting>
  <conditionalFormatting sqref="H58:J59 H60:I61">
    <cfRule type="expression" dxfId="147" priority="45">
      <formula>#REF!&lt;&gt;#REF!</formula>
    </cfRule>
  </conditionalFormatting>
  <conditionalFormatting sqref="H65:J65">
    <cfRule type="expression" dxfId="146" priority="63">
      <formula>$G$65=$AA$65</formula>
    </cfRule>
  </conditionalFormatting>
  <conditionalFormatting sqref="H66:J70">
    <cfRule type="expression" dxfId="145" priority="64">
      <formula>$G$65=$AA$66</formula>
    </cfRule>
  </conditionalFormatting>
  <conditionalFormatting sqref="H24:K24">
    <cfRule type="expression" dxfId="144" priority="68">
      <formula>$G$24=$AA$11</formula>
    </cfRule>
  </conditionalFormatting>
  <conditionalFormatting sqref="H25:K25">
    <cfRule type="expression" dxfId="143" priority="69">
      <formula>$G$24=$AA$10</formula>
    </cfRule>
  </conditionalFormatting>
  <conditionalFormatting sqref="H27:K27 M27">
    <cfRule type="expression" dxfId="142" priority="60">
      <formula>#REF!=0</formula>
    </cfRule>
  </conditionalFormatting>
  <conditionalFormatting sqref="H29:K34">
    <cfRule type="expression" dxfId="141" priority="9">
      <formula>$C29=TRUE</formula>
    </cfRule>
  </conditionalFormatting>
  <conditionalFormatting sqref="H36:K38">
    <cfRule type="expression" dxfId="140" priority="8">
      <formula>$C36=TRUE</formula>
    </cfRule>
  </conditionalFormatting>
  <conditionalFormatting sqref="H40:K45">
    <cfRule type="expression" dxfId="139" priority="7">
      <formula>$C40=TRUE</formula>
    </cfRule>
  </conditionalFormatting>
  <conditionalFormatting sqref="H51:K51">
    <cfRule type="expression" dxfId="138" priority="73">
      <formula>$G$51=$AA$52</formula>
    </cfRule>
  </conditionalFormatting>
  <conditionalFormatting sqref="H52:K52">
    <cfRule type="expression" dxfId="137" priority="70">
      <formula>$G$51=$AA$51</formula>
    </cfRule>
  </conditionalFormatting>
  <conditionalFormatting sqref="H56:K56">
    <cfRule type="expression" dxfId="136" priority="75">
      <formula>$G$56=$AA$58</formula>
    </cfRule>
  </conditionalFormatting>
  <conditionalFormatting sqref="H57:K61">
    <cfRule type="expression" dxfId="135" priority="74">
      <formula>$G$56=$AA$57</formula>
    </cfRule>
  </conditionalFormatting>
  <conditionalFormatting sqref="H58:K58">
    <cfRule type="expression" dxfId="134" priority="49">
      <formula>$C58=TRUE</formula>
    </cfRule>
  </conditionalFormatting>
  <conditionalFormatting sqref="H59:K59">
    <cfRule type="expression" dxfId="133" priority="46">
      <formula>$C$59=TRUE</formula>
    </cfRule>
  </conditionalFormatting>
  <conditionalFormatting sqref="H69:K69">
    <cfRule type="expression" dxfId="132" priority="5">
      <formula>$C69=TRUE</formula>
    </cfRule>
  </conditionalFormatting>
  <conditionalFormatting sqref="H70:K70">
    <cfRule type="expression" dxfId="131" priority="56">
      <formula>$C$70=TRUE</formula>
    </cfRule>
  </conditionalFormatting>
  <conditionalFormatting sqref="H74:K74">
    <cfRule type="expression" dxfId="130" priority="77">
      <formula>$G$74=$AA$75</formula>
    </cfRule>
  </conditionalFormatting>
  <conditionalFormatting sqref="H75:K75">
    <cfRule type="expression" dxfId="129" priority="78">
      <formula>$G$74=$AA$74</formula>
    </cfRule>
  </conditionalFormatting>
  <conditionalFormatting sqref="H83:K83">
    <cfRule type="expression" dxfId="128" priority="71">
      <formula>$G$83=$AA$84</formula>
    </cfRule>
  </conditionalFormatting>
  <conditionalFormatting sqref="H84:K84">
    <cfRule type="expression" dxfId="127" priority="72">
      <formula>$G$83=$AA$83</formula>
    </cfRule>
  </conditionalFormatting>
  <conditionalFormatting sqref="J59">
    <cfRule type="expression" dxfId="126" priority="6">
      <formula>$C59=TRUE</formula>
    </cfRule>
  </conditionalFormatting>
  <conditionalFormatting sqref="J78:J80">
    <cfRule type="expression" dxfId="125" priority="4">
      <formula>$C78=TRUE</formula>
    </cfRule>
  </conditionalFormatting>
  <conditionalFormatting sqref="J91">
    <cfRule type="expression" dxfId="124" priority="3">
      <formula>$C91=TRUE</formula>
    </cfRule>
  </conditionalFormatting>
  <conditionalFormatting sqref="J100">
    <cfRule type="expression" dxfId="123" priority="2">
      <formula>$C100=TRUE</formula>
    </cfRule>
  </conditionalFormatting>
  <conditionalFormatting sqref="K22:K23">
    <cfRule type="expression" dxfId="122" priority="58">
      <formula>$G$21=$I$22</formula>
    </cfRule>
  </conditionalFormatting>
  <conditionalFormatting sqref="K56">
    <cfRule type="expression" dxfId="121" priority="26">
      <formula>#REF!&lt;&gt;#REF!</formula>
    </cfRule>
  </conditionalFormatting>
  <conditionalFormatting sqref="K65">
    <cfRule type="expression" dxfId="120" priority="66">
      <formula>$G$65=$AA$65</formula>
    </cfRule>
  </conditionalFormatting>
  <conditionalFormatting sqref="K66:K70">
    <cfRule type="expression" dxfId="119" priority="65">
      <formula>$G$65=$AA$66</formula>
    </cfRule>
  </conditionalFormatting>
  <conditionalFormatting sqref="K98:K100 K95:K96 K104:K108">
    <cfRule type="expression" dxfId="118" priority="67">
      <formula>$G$73=$AA$74</formula>
    </cfRule>
  </conditionalFormatting>
  <conditionalFormatting sqref="S9:S25 S29:S45 S49:S52 S56:S61 S65:S70 S74:S84 S88:S91 S95:S100 S104:S108">
    <cfRule type="expression" dxfId="117" priority="25">
      <formula>P9=#REF!</formula>
    </cfRule>
  </conditionalFormatting>
  <conditionalFormatting sqref="T9:T25">
    <cfRule type="expression" dxfId="116" priority="40">
      <formula>$Q9=#REF!</formula>
    </cfRule>
    <cfRule type="expression" dxfId="115" priority="39">
      <formula>$Q9=#REF!</formula>
    </cfRule>
  </conditionalFormatting>
  <conditionalFormatting sqref="T28:T45">
    <cfRule type="expression" dxfId="114" priority="38">
      <formula>$Q28=#REF!</formula>
    </cfRule>
    <cfRule type="expression" dxfId="113" priority="37">
      <formula>$Q28=#REF!</formula>
    </cfRule>
  </conditionalFormatting>
  <conditionalFormatting sqref="T48:T61">
    <cfRule type="expression" dxfId="112" priority="36">
      <formula>$Q48=#REF!</formula>
    </cfRule>
    <cfRule type="expression" dxfId="111" priority="35">
      <formula>$Q48=#REF!</formula>
    </cfRule>
  </conditionalFormatting>
  <conditionalFormatting sqref="T64:T70">
    <cfRule type="expression" dxfId="110" priority="34">
      <formula>$Q64=#REF!</formula>
    </cfRule>
    <cfRule type="expression" dxfId="109" priority="33">
      <formula>$Q64=#REF!</formula>
    </cfRule>
  </conditionalFormatting>
  <conditionalFormatting sqref="T73:T84">
    <cfRule type="expression" dxfId="108" priority="32">
      <formula>$Q73=#REF!</formula>
    </cfRule>
    <cfRule type="expression" dxfId="107" priority="31">
      <formula>$Q73=#REF!</formula>
    </cfRule>
  </conditionalFormatting>
  <conditionalFormatting sqref="T87:T100">
    <cfRule type="expression" dxfId="106" priority="29">
      <formula>$Q87=#REF!</formula>
    </cfRule>
    <cfRule type="expression" dxfId="105" priority="30">
      <formula>$Q87=#REF!</formula>
    </cfRule>
  </conditionalFormatting>
  <conditionalFormatting sqref="T103:T108">
    <cfRule type="expression" dxfId="104" priority="28">
      <formula>$Q103=#REF!</formula>
    </cfRule>
    <cfRule type="expression" dxfId="103" priority="27">
      <formula>$Q103=#REF!</formula>
    </cfRule>
  </conditionalFormatting>
  <conditionalFormatting sqref="U9:V108 Y9:Z108">
    <cfRule type="expression" dxfId="102" priority="61">
      <formula>$Q9=#REF!</formula>
    </cfRule>
    <cfRule type="expression" dxfId="101" priority="62">
      <formula>$Q9=#REF!</formula>
    </cfRule>
  </conditionalFormatting>
  <conditionalFormatting sqref="W9:W25 W29:W45 W49:W52 W56:W61 W65:W70 W74:W84 W88:W91 W95:W100 W104:W108">
    <cfRule type="expression" dxfId="100" priority="10">
      <formula>T9=#REF!</formula>
    </cfRule>
  </conditionalFormatting>
  <conditionalFormatting sqref="X9:X25">
    <cfRule type="expression" dxfId="99" priority="24">
      <formula>$Q9=#REF!</formula>
    </cfRule>
    <cfRule type="expression" dxfId="98" priority="23">
      <formula>$Q9=#REF!</formula>
    </cfRule>
  </conditionalFormatting>
  <conditionalFormatting sqref="X28:X45">
    <cfRule type="expression" dxfId="97" priority="22">
      <formula>$Q28=#REF!</formula>
    </cfRule>
    <cfRule type="expression" dxfId="96" priority="21">
      <formula>$Q28=#REF!</formula>
    </cfRule>
  </conditionalFormatting>
  <conditionalFormatting sqref="X48:X61">
    <cfRule type="expression" dxfId="95" priority="20">
      <formula>$Q48=#REF!</formula>
    </cfRule>
    <cfRule type="expression" dxfId="94" priority="19">
      <formula>$Q48=#REF!</formula>
    </cfRule>
  </conditionalFormatting>
  <conditionalFormatting sqref="X64:X70">
    <cfRule type="expression" dxfId="93" priority="18">
      <formula>$Q64=#REF!</formula>
    </cfRule>
    <cfRule type="expression" dxfId="92" priority="17">
      <formula>$Q64=#REF!</formula>
    </cfRule>
  </conditionalFormatting>
  <conditionalFormatting sqref="X73:X84">
    <cfRule type="expression" dxfId="91" priority="16">
      <formula>$Q73=#REF!</formula>
    </cfRule>
    <cfRule type="expression" dxfId="90" priority="15">
      <formula>$Q73=#REF!</formula>
    </cfRule>
  </conditionalFormatting>
  <conditionalFormatting sqref="X87:X100">
    <cfRule type="expression" dxfId="89" priority="14">
      <formula>$Q87=#REF!</formula>
    </cfRule>
    <cfRule type="expression" dxfId="88" priority="13">
      <formula>$Q87=#REF!</formula>
    </cfRule>
  </conditionalFormatting>
  <conditionalFormatting sqref="X103:X108">
    <cfRule type="expression" dxfId="87" priority="12">
      <formula>$Q103=#REF!</formula>
    </cfRule>
    <cfRule type="expression" dxfId="86" priority="11">
      <formula>$Q103=#REF!</formula>
    </cfRule>
  </conditionalFormatting>
  <dataValidations count="18">
    <dataValidation type="list" allowBlank="1" showInputMessage="1" showErrorMessage="1" sqref="Q29:Q45 Q104:Q108 Q95:Q100 Q9:Q25 Q74:Q84 Q49:Q52 Q65:Q70 Q56:Q61 Q88:Q91" xr:uid="{CAD14A38-F99A-48AC-A723-F485EEF0DA90}">
      <formula1>$AC$11:$AC$14</formula1>
    </dataValidation>
    <dataValidation type="list" allowBlank="1" showInputMessage="1" showErrorMessage="1" sqref="AA7 X9:X25 T9:T25" xr:uid="{79B7D0E4-1547-4F53-86C9-A4E2F5F21BC6}">
      <formula1>$AA$16:$AA$18</formula1>
    </dataValidation>
    <dataValidation type="list" allowBlank="1" showInputMessage="1" showErrorMessage="1" sqref="K13 K97 K82 K49 K39 K89 K21 K19 K35" xr:uid="{D6B2F955-BE02-4000-BD13-53801D5E3403}">
      <formula1>$AD$10:$AD$11</formula1>
    </dataValidation>
    <dataValidation type="list" allowBlank="1" showInputMessage="1" showErrorMessage="1" sqref="G74:G75" xr:uid="{67D21242-8151-4DEF-84D1-E052FE5E7093}">
      <formula1>$AA$74:$AA$75</formula1>
    </dataValidation>
    <dataValidation type="list" allowBlank="1" showInputMessage="1" showErrorMessage="1" sqref="G56:G61" xr:uid="{218E1AF8-440D-4D0C-9508-CEDEC3CA4B57}">
      <formula1>$AA$57:$AA$58</formula1>
    </dataValidation>
    <dataValidation type="list" allowBlank="1" showInputMessage="1" showErrorMessage="1" promptTitle="Selection Required" prompt="Please indicate the project's desired pathway." sqref="G83:G84" xr:uid="{67FCA8F4-B2FA-4185-9993-9EDE99ED1A14}">
      <formula1>$AA$83:$AA$84</formula1>
    </dataValidation>
    <dataValidation type="decimal" operator="lessThanOrEqual" allowBlank="1" showInputMessage="1" showErrorMessage="1" sqref="K24:K25" xr:uid="{2187BFD8-372B-4484-9A40-65A7F127FC76}">
      <formula1>1</formula1>
    </dataValidation>
    <dataValidation type="list" allowBlank="1" showInputMessage="1" showErrorMessage="1" sqref="G54" xr:uid="{5BF98F02-86C2-433C-BFA2-AD21145D01A7}">
      <formula1>$AA$51:$AA$51</formula1>
    </dataValidation>
    <dataValidation type="list" allowBlank="1" showInputMessage="1" showErrorMessage="1" promptTitle="Selection Required" prompt="Please indicate the project's desired pathway." sqref="G51:G52" xr:uid="{8A1C8751-FC20-4A46-AE1F-77ABC4687E29}">
      <formula1>$AA$51:$AA$52</formula1>
    </dataValidation>
    <dataValidation type="list" allowBlank="1" showInputMessage="1" showErrorMessage="1" promptTitle="Selection Required" prompt="Please indicate the project's desired pathway." sqref="G24:G25" xr:uid="{76C1AD2B-D18D-486E-9E98-C83D436E7836}">
      <formula1>$AA$10:$AA$11</formula1>
    </dataValidation>
    <dataValidation type="list" allowBlank="1" showInputMessage="1" showErrorMessage="1" sqref="O95:O100 O74:O84 O56:O61 O88:O91 O49:O52 O9:O25 O29:O45 O65:O70" xr:uid="{DFDB0CA7-8246-402D-BEE5-1035CCFD4449}">
      <formula1>$AB$12:$AB$12</formula1>
    </dataValidation>
    <dataValidation type="list" allowBlank="1" showInputMessage="1" showErrorMessage="1" sqref="O104:P108 G27 G72" xr:uid="{6564E49A-E15D-4EA2-A435-3977E89EEAB9}">
      <formula1>#REF!</formula1>
    </dataValidation>
    <dataValidation type="list" allowBlank="1" showInputMessage="1" showErrorMessage="1" sqref="P65:P70 P74:P84 P56:P61 P88:P91 P49:P52 P9:P25 P95:P100 P29:P45" xr:uid="{4D5562FF-250C-433B-B82D-A0AF047D5FD7}">
      <formula1>$AB$11:$AB$12</formula1>
    </dataValidation>
    <dataValidation type="decimal" operator="lessThanOrEqual" allowBlank="1" showInputMessage="1" showErrorMessage="1" sqref="K104:K108" xr:uid="{89B0EF03-519D-43E1-B91B-240DCFBE1A37}">
      <formula1>10</formula1>
    </dataValidation>
    <dataValidation type="decimal" allowBlank="1" showInputMessage="1" showErrorMessage="1" sqref="K20 K22:K23 K9:K12 K14:K18" xr:uid="{789839F7-9299-441A-9651-ED2658D49459}">
      <formula1>0</formula1>
      <formula2>J9</formula2>
    </dataValidation>
    <dataValidation type="list" allowBlank="1" showInputMessage="1" showErrorMessage="1" sqref="G63" xr:uid="{5822ED09-50AF-4277-86B1-10F47AB2789B}">
      <formula1>$AA$57:$AA$57</formula1>
    </dataValidation>
    <dataValidation type="list" allowBlank="1" showInputMessage="1" showErrorMessage="1" promptTitle="Selection Required" prompt="Please indicate the project's desired pathway." sqref="G65:G70" xr:uid="{9BEBA7EE-6136-4897-9D28-71C89A464A00}">
      <formula1>$AA$65:$AA$66</formula1>
    </dataValidation>
    <dataValidation type="decimal" operator="lessThanOrEqual" allowBlank="1" showInputMessage="1" showErrorMessage="1" sqref="K98:K100 K109 K50:K52 K40:K45 K65:K70 K95:K96 K88 K29:K34 K36:K38 K90:K91 K56:K61 K83:K84 K74:K81" xr:uid="{2F4FBD8F-CBE3-47D9-BC73-4D996BF917FD}">
      <formula1>J29</formula1>
    </dataValidation>
  </dataValidations>
  <pageMargins left="0.70866141732283472" right="0.70866141732283472" top="0.74803149606299213" bottom="0.74803149606299213" header="0.31496062992125984" footer="0.31496062992125984"/>
  <pageSetup paperSize="9" scale="51" fitToHeight="0"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47105" r:id="rId4" name="Check Box 1">
              <controlPr defaultSize="0" autoFill="0" autoLine="0" autoPict="0">
                <anchor moveWithCells="1">
                  <from>
                    <xdr:col>4</xdr:col>
                    <xdr:colOff>38100</xdr:colOff>
                    <xdr:row>29</xdr:row>
                    <xdr:rowOff>175260</xdr:rowOff>
                  </from>
                  <to>
                    <xdr:col>5</xdr:col>
                    <xdr:colOff>320040</xdr:colOff>
                    <xdr:row>29</xdr:row>
                    <xdr:rowOff>381000</xdr:rowOff>
                  </to>
                </anchor>
              </controlPr>
            </control>
          </mc:Choice>
        </mc:AlternateContent>
        <mc:AlternateContent xmlns:mc="http://schemas.openxmlformats.org/markup-compatibility/2006">
          <mc:Choice Requires="x14">
            <control shapeId="47106" r:id="rId5" name="Check Box 2">
              <controlPr defaultSize="0" autoFill="0" autoLine="0" autoPict="0">
                <anchor moveWithCells="1">
                  <from>
                    <xdr:col>4</xdr:col>
                    <xdr:colOff>38100</xdr:colOff>
                    <xdr:row>28</xdr:row>
                    <xdr:rowOff>182880</xdr:rowOff>
                  </from>
                  <to>
                    <xdr:col>5</xdr:col>
                    <xdr:colOff>320040</xdr:colOff>
                    <xdr:row>28</xdr:row>
                    <xdr:rowOff>411480</xdr:rowOff>
                  </to>
                </anchor>
              </controlPr>
            </control>
          </mc:Choice>
        </mc:AlternateContent>
        <mc:AlternateContent xmlns:mc="http://schemas.openxmlformats.org/markup-compatibility/2006">
          <mc:Choice Requires="x14">
            <control shapeId="47107" r:id="rId6" name="Check Box 3">
              <controlPr defaultSize="0" autoFill="0" autoLine="0" autoPict="0">
                <anchor moveWithCells="1">
                  <from>
                    <xdr:col>4</xdr:col>
                    <xdr:colOff>38100</xdr:colOff>
                    <xdr:row>30</xdr:row>
                    <xdr:rowOff>175260</xdr:rowOff>
                  </from>
                  <to>
                    <xdr:col>5</xdr:col>
                    <xdr:colOff>320040</xdr:colOff>
                    <xdr:row>30</xdr:row>
                    <xdr:rowOff>381000</xdr:rowOff>
                  </to>
                </anchor>
              </controlPr>
            </control>
          </mc:Choice>
        </mc:AlternateContent>
        <mc:AlternateContent xmlns:mc="http://schemas.openxmlformats.org/markup-compatibility/2006">
          <mc:Choice Requires="x14">
            <control shapeId="47108" r:id="rId7" name="Check Box 4">
              <controlPr defaultSize="0" autoFill="0" autoLine="0" autoPict="0">
                <anchor moveWithCells="1">
                  <from>
                    <xdr:col>4</xdr:col>
                    <xdr:colOff>38100</xdr:colOff>
                    <xdr:row>31</xdr:row>
                    <xdr:rowOff>175260</xdr:rowOff>
                  </from>
                  <to>
                    <xdr:col>5</xdr:col>
                    <xdr:colOff>320040</xdr:colOff>
                    <xdr:row>31</xdr:row>
                    <xdr:rowOff>381000</xdr:rowOff>
                  </to>
                </anchor>
              </controlPr>
            </control>
          </mc:Choice>
        </mc:AlternateContent>
        <mc:AlternateContent xmlns:mc="http://schemas.openxmlformats.org/markup-compatibility/2006">
          <mc:Choice Requires="x14">
            <control shapeId="47109" r:id="rId8" name="Check Box 5">
              <controlPr defaultSize="0" autoFill="0" autoLine="0" autoPict="0">
                <anchor moveWithCells="1">
                  <from>
                    <xdr:col>4</xdr:col>
                    <xdr:colOff>38100</xdr:colOff>
                    <xdr:row>32</xdr:row>
                    <xdr:rowOff>175260</xdr:rowOff>
                  </from>
                  <to>
                    <xdr:col>5</xdr:col>
                    <xdr:colOff>320040</xdr:colOff>
                    <xdr:row>32</xdr:row>
                    <xdr:rowOff>381000</xdr:rowOff>
                  </to>
                </anchor>
              </controlPr>
            </control>
          </mc:Choice>
        </mc:AlternateContent>
        <mc:AlternateContent xmlns:mc="http://schemas.openxmlformats.org/markup-compatibility/2006">
          <mc:Choice Requires="x14">
            <control shapeId="47110" r:id="rId9" name="Check Box 6">
              <controlPr defaultSize="0" autoFill="0" autoLine="0" autoPict="0">
                <anchor moveWithCells="1">
                  <from>
                    <xdr:col>4</xdr:col>
                    <xdr:colOff>38100</xdr:colOff>
                    <xdr:row>33</xdr:row>
                    <xdr:rowOff>175260</xdr:rowOff>
                  </from>
                  <to>
                    <xdr:col>5</xdr:col>
                    <xdr:colOff>320040</xdr:colOff>
                    <xdr:row>33</xdr:row>
                    <xdr:rowOff>381000</xdr:rowOff>
                  </to>
                </anchor>
              </controlPr>
            </control>
          </mc:Choice>
        </mc:AlternateContent>
        <mc:AlternateContent xmlns:mc="http://schemas.openxmlformats.org/markup-compatibility/2006">
          <mc:Choice Requires="x14">
            <control shapeId="47111" r:id="rId10" name="Check Box 7">
              <controlPr defaultSize="0" autoFill="0" autoLine="0" autoPict="0">
                <anchor moveWithCells="1">
                  <from>
                    <xdr:col>4</xdr:col>
                    <xdr:colOff>38100</xdr:colOff>
                    <xdr:row>35</xdr:row>
                    <xdr:rowOff>175260</xdr:rowOff>
                  </from>
                  <to>
                    <xdr:col>5</xdr:col>
                    <xdr:colOff>320040</xdr:colOff>
                    <xdr:row>35</xdr:row>
                    <xdr:rowOff>381000</xdr:rowOff>
                  </to>
                </anchor>
              </controlPr>
            </control>
          </mc:Choice>
        </mc:AlternateContent>
        <mc:AlternateContent xmlns:mc="http://schemas.openxmlformats.org/markup-compatibility/2006">
          <mc:Choice Requires="x14">
            <control shapeId="47112" r:id="rId11" name="Check Box 8">
              <controlPr defaultSize="0" autoFill="0" autoLine="0" autoPict="0">
                <anchor moveWithCells="1">
                  <from>
                    <xdr:col>4</xdr:col>
                    <xdr:colOff>38100</xdr:colOff>
                    <xdr:row>36</xdr:row>
                    <xdr:rowOff>175260</xdr:rowOff>
                  </from>
                  <to>
                    <xdr:col>5</xdr:col>
                    <xdr:colOff>320040</xdr:colOff>
                    <xdr:row>36</xdr:row>
                    <xdr:rowOff>381000</xdr:rowOff>
                  </to>
                </anchor>
              </controlPr>
            </control>
          </mc:Choice>
        </mc:AlternateContent>
        <mc:AlternateContent xmlns:mc="http://schemas.openxmlformats.org/markup-compatibility/2006">
          <mc:Choice Requires="x14">
            <control shapeId="47113" r:id="rId12" name="Check Box 9">
              <controlPr defaultSize="0" autoFill="0" autoLine="0" autoPict="0">
                <anchor moveWithCells="1">
                  <from>
                    <xdr:col>4</xdr:col>
                    <xdr:colOff>38100</xdr:colOff>
                    <xdr:row>37</xdr:row>
                    <xdr:rowOff>175260</xdr:rowOff>
                  </from>
                  <to>
                    <xdr:col>5</xdr:col>
                    <xdr:colOff>320040</xdr:colOff>
                    <xdr:row>37</xdr:row>
                    <xdr:rowOff>381000</xdr:rowOff>
                  </to>
                </anchor>
              </controlPr>
            </control>
          </mc:Choice>
        </mc:AlternateContent>
        <mc:AlternateContent xmlns:mc="http://schemas.openxmlformats.org/markup-compatibility/2006">
          <mc:Choice Requires="x14">
            <control shapeId="47114" r:id="rId13" name="Check Box 10">
              <controlPr defaultSize="0" autoFill="0" autoLine="0" autoPict="0">
                <anchor moveWithCells="1">
                  <from>
                    <xdr:col>4</xdr:col>
                    <xdr:colOff>38100</xdr:colOff>
                    <xdr:row>39</xdr:row>
                    <xdr:rowOff>175260</xdr:rowOff>
                  </from>
                  <to>
                    <xdr:col>5</xdr:col>
                    <xdr:colOff>320040</xdr:colOff>
                    <xdr:row>39</xdr:row>
                    <xdr:rowOff>381000</xdr:rowOff>
                  </to>
                </anchor>
              </controlPr>
            </control>
          </mc:Choice>
        </mc:AlternateContent>
        <mc:AlternateContent xmlns:mc="http://schemas.openxmlformats.org/markup-compatibility/2006">
          <mc:Choice Requires="x14">
            <control shapeId="47115" r:id="rId14" name="Check Box 11">
              <controlPr defaultSize="0" autoFill="0" autoLine="0" autoPict="0">
                <anchor moveWithCells="1">
                  <from>
                    <xdr:col>4</xdr:col>
                    <xdr:colOff>38100</xdr:colOff>
                    <xdr:row>40</xdr:row>
                    <xdr:rowOff>175260</xdr:rowOff>
                  </from>
                  <to>
                    <xdr:col>5</xdr:col>
                    <xdr:colOff>320040</xdr:colOff>
                    <xdr:row>40</xdr:row>
                    <xdr:rowOff>381000</xdr:rowOff>
                  </to>
                </anchor>
              </controlPr>
            </control>
          </mc:Choice>
        </mc:AlternateContent>
        <mc:AlternateContent xmlns:mc="http://schemas.openxmlformats.org/markup-compatibility/2006">
          <mc:Choice Requires="x14">
            <control shapeId="47116" r:id="rId15" name="Check Box 12">
              <controlPr defaultSize="0" autoFill="0" autoLine="0" autoPict="0">
                <anchor moveWithCells="1">
                  <from>
                    <xdr:col>4</xdr:col>
                    <xdr:colOff>38100</xdr:colOff>
                    <xdr:row>41</xdr:row>
                    <xdr:rowOff>175260</xdr:rowOff>
                  </from>
                  <to>
                    <xdr:col>5</xdr:col>
                    <xdr:colOff>320040</xdr:colOff>
                    <xdr:row>41</xdr:row>
                    <xdr:rowOff>381000</xdr:rowOff>
                  </to>
                </anchor>
              </controlPr>
            </control>
          </mc:Choice>
        </mc:AlternateContent>
        <mc:AlternateContent xmlns:mc="http://schemas.openxmlformats.org/markup-compatibility/2006">
          <mc:Choice Requires="x14">
            <control shapeId="47117" r:id="rId16" name="Check Box 13">
              <controlPr defaultSize="0" autoFill="0" autoLine="0" autoPict="0">
                <anchor moveWithCells="1">
                  <from>
                    <xdr:col>4</xdr:col>
                    <xdr:colOff>38100</xdr:colOff>
                    <xdr:row>42</xdr:row>
                    <xdr:rowOff>175260</xdr:rowOff>
                  </from>
                  <to>
                    <xdr:col>5</xdr:col>
                    <xdr:colOff>320040</xdr:colOff>
                    <xdr:row>42</xdr:row>
                    <xdr:rowOff>381000</xdr:rowOff>
                  </to>
                </anchor>
              </controlPr>
            </control>
          </mc:Choice>
        </mc:AlternateContent>
        <mc:AlternateContent xmlns:mc="http://schemas.openxmlformats.org/markup-compatibility/2006">
          <mc:Choice Requires="x14">
            <control shapeId="47118" r:id="rId17" name="Check Box 14">
              <controlPr defaultSize="0" autoFill="0" autoLine="0" autoPict="0">
                <anchor moveWithCells="1">
                  <from>
                    <xdr:col>4</xdr:col>
                    <xdr:colOff>38100</xdr:colOff>
                    <xdr:row>43</xdr:row>
                    <xdr:rowOff>175260</xdr:rowOff>
                  </from>
                  <to>
                    <xdr:col>5</xdr:col>
                    <xdr:colOff>320040</xdr:colOff>
                    <xdr:row>43</xdr:row>
                    <xdr:rowOff>381000</xdr:rowOff>
                  </to>
                </anchor>
              </controlPr>
            </control>
          </mc:Choice>
        </mc:AlternateContent>
        <mc:AlternateContent xmlns:mc="http://schemas.openxmlformats.org/markup-compatibility/2006">
          <mc:Choice Requires="x14">
            <control shapeId="47119" r:id="rId18" name="Check Box 15">
              <controlPr defaultSize="0" autoFill="0" autoLine="0" autoPict="0">
                <anchor moveWithCells="1">
                  <from>
                    <xdr:col>4</xdr:col>
                    <xdr:colOff>38100</xdr:colOff>
                    <xdr:row>44</xdr:row>
                    <xdr:rowOff>175260</xdr:rowOff>
                  </from>
                  <to>
                    <xdr:col>5</xdr:col>
                    <xdr:colOff>320040</xdr:colOff>
                    <xdr:row>44</xdr:row>
                    <xdr:rowOff>381000</xdr:rowOff>
                  </to>
                </anchor>
              </controlPr>
            </control>
          </mc:Choice>
        </mc:AlternateContent>
        <mc:AlternateContent xmlns:mc="http://schemas.openxmlformats.org/markup-compatibility/2006">
          <mc:Choice Requires="x14">
            <control shapeId="47120" r:id="rId19" name="Check Box 16">
              <controlPr defaultSize="0" autoFill="0" autoLine="0" autoPict="0">
                <anchor moveWithCells="1">
                  <from>
                    <xdr:col>4</xdr:col>
                    <xdr:colOff>38100</xdr:colOff>
                    <xdr:row>57</xdr:row>
                    <xdr:rowOff>175260</xdr:rowOff>
                  </from>
                  <to>
                    <xdr:col>5</xdr:col>
                    <xdr:colOff>320040</xdr:colOff>
                    <xdr:row>57</xdr:row>
                    <xdr:rowOff>381000</xdr:rowOff>
                  </to>
                </anchor>
              </controlPr>
            </control>
          </mc:Choice>
        </mc:AlternateContent>
        <mc:AlternateContent xmlns:mc="http://schemas.openxmlformats.org/markup-compatibility/2006">
          <mc:Choice Requires="x14">
            <control shapeId="47121" r:id="rId20" name="Check Box 17">
              <controlPr defaultSize="0" autoFill="0" autoLine="0" autoPict="0">
                <anchor moveWithCells="1">
                  <from>
                    <xdr:col>4</xdr:col>
                    <xdr:colOff>38100</xdr:colOff>
                    <xdr:row>58</xdr:row>
                    <xdr:rowOff>175260</xdr:rowOff>
                  </from>
                  <to>
                    <xdr:col>5</xdr:col>
                    <xdr:colOff>320040</xdr:colOff>
                    <xdr:row>58</xdr:row>
                    <xdr:rowOff>381000</xdr:rowOff>
                  </to>
                </anchor>
              </controlPr>
            </control>
          </mc:Choice>
        </mc:AlternateContent>
        <mc:AlternateContent xmlns:mc="http://schemas.openxmlformats.org/markup-compatibility/2006">
          <mc:Choice Requires="x14">
            <control shapeId="47122" r:id="rId21" name="Check Box 18">
              <controlPr defaultSize="0" autoFill="0" autoLine="0" autoPict="0">
                <anchor moveWithCells="1">
                  <from>
                    <xdr:col>4</xdr:col>
                    <xdr:colOff>38100</xdr:colOff>
                    <xdr:row>68</xdr:row>
                    <xdr:rowOff>175260</xdr:rowOff>
                  </from>
                  <to>
                    <xdr:col>5</xdr:col>
                    <xdr:colOff>320040</xdr:colOff>
                    <xdr:row>68</xdr:row>
                    <xdr:rowOff>381000</xdr:rowOff>
                  </to>
                </anchor>
              </controlPr>
            </control>
          </mc:Choice>
        </mc:AlternateContent>
        <mc:AlternateContent xmlns:mc="http://schemas.openxmlformats.org/markup-compatibility/2006">
          <mc:Choice Requires="x14">
            <control shapeId="47123" r:id="rId22" name="Check Box 19">
              <controlPr defaultSize="0" autoFill="0" autoLine="0" autoPict="0">
                <anchor moveWithCells="1">
                  <from>
                    <xdr:col>4</xdr:col>
                    <xdr:colOff>38100</xdr:colOff>
                    <xdr:row>69</xdr:row>
                    <xdr:rowOff>175260</xdr:rowOff>
                  </from>
                  <to>
                    <xdr:col>5</xdr:col>
                    <xdr:colOff>320040</xdr:colOff>
                    <xdr:row>69</xdr:row>
                    <xdr:rowOff>381000</xdr:rowOff>
                  </to>
                </anchor>
              </controlPr>
            </control>
          </mc:Choice>
        </mc:AlternateContent>
        <mc:AlternateContent xmlns:mc="http://schemas.openxmlformats.org/markup-compatibility/2006">
          <mc:Choice Requires="x14">
            <control shapeId="47124" r:id="rId23" name="Check Box 20">
              <controlPr defaultSize="0" autoFill="0" autoLine="0" autoPict="0">
                <anchor moveWithCells="1">
                  <from>
                    <xdr:col>4</xdr:col>
                    <xdr:colOff>38100</xdr:colOff>
                    <xdr:row>90</xdr:row>
                    <xdr:rowOff>175260</xdr:rowOff>
                  </from>
                  <to>
                    <xdr:col>5</xdr:col>
                    <xdr:colOff>320040</xdr:colOff>
                    <xdr:row>90</xdr:row>
                    <xdr:rowOff>381000</xdr:rowOff>
                  </to>
                </anchor>
              </controlPr>
            </control>
          </mc:Choice>
        </mc:AlternateContent>
        <mc:AlternateContent xmlns:mc="http://schemas.openxmlformats.org/markup-compatibility/2006">
          <mc:Choice Requires="x14">
            <control shapeId="47125" r:id="rId24" name="Check Box 21">
              <controlPr defaultSize="0" autoFill="0" autoLine="0" autoPict="0">
                <anchor moveWithCells="1">
                  <from>
                    <xdr:col>4</xdr:col>
                    <xdr:colOff>38100</xdr:colOff>
                    <xdr:row>77</xdr:row>
                    <xdr:rowOff>175260</xdr:rowOff>
                  </from>
                  <to>
                    <xdr:col>5</xdr:col>
                    <xdr:colOff>320040</xdr:colOff>
                    <xdr:row>77</xdr:row>
                    <xdr:rowOff>381000</xdr:rowOff>
                  </to>
                </anchor>
              </controlPr>
            </control>
          </mc:Choice>
        </mc:AlternateContent>
        <mc:AlternateContent xmlns:mc="http://schemas.openxmlformats.org/markup-compatibility/2006">
          <mc:Choice Requires="x14">
            <control shapeId="47126" r:id="rId25" name="Check Box 22">
              <controlPr defaultSize="0" autoFill="0" autoLine="0" autoPict="0">
                <anchor moveWithCells="1">
                  <from>
                    <xdr:col>4</xdr:col>
                    <xdr:colOff>38100</xdr:colOff>
                    <xdr:row>78</xdr:row>
                    <xdr:rowOff>175260</xdr:rowOff>
                  </from>
                  <to>
                    <xdr:col>5</xdr:col>
                    <xdr:colOff>320040</xdr:colOff>
                    <xdr:row>78</xdr:row>
                    <xdr:rowOff>381000</xdr:rowOff>
                  </to>
                </anchor>
              </controlPr>
            </control>
          </mc:Choice>
        </mc:AlternateContent>
        <mc:AlternateContent xmlns:mc="http://schemas.openxmlformats.org/markup-compatibility/2006">
          <mc:Choice Requires="x14">
            <control shapeId="47127" r:id="rId26" name="Check Box 23">
              <controlPr defaultSize="0" autoFill="0" autoLine="0" autoPict="0">
                <anchor moveWithCells="1">
                  <from>
                    <xdr:col>4</xdr:col>
                    <xdr:colOff>38100</xdr:colOff>
                    <xdr:row>79</xdr:row>
                    <xdr:rowOff>175260</xdr:rowOff>
                  </from>
                  <to>
                    <xdr:col>5</xdr:col>
                    <xdr:colOff>320040</xdr:colOff>
                    <xdr:row>79</xdr:row>
                    <xdr:rowOff>381000</xdr:rowOff>
                  </to>
                </anchor>
              </controlPr>
            </control>
          </mc:Choice>
        </mc:AlternateContent>
        <mc:AlternateContent xmlns:mc="http://schemas.openxmlformats.org/markup-compatibility/2006">
          <mc:Choice Requires="x14">
            <control shapeId="47128" r:id="rId27" name="Check Box 24">
              <controlPr defaultSize="0" autoFill="0" autoLine="0" autoPict="0">
                <anchor moveWithCells="1">
                  <from>
                    <xdr:col>4</xdr:col>
                    <xdr:colOff>38100</xdr:colOff>
                    <xdr:row>99</xdr:row>
                    <xdr:rowOff>175260</xdr:rowOff>
                  </from>
                  <to>
                    <xdr:col>5</xdr:col>
                    <xdr:colOff>320040</xdr:colOff>
                    <xdr:row>99</xdr:row>
                    <xdr:rowOff>381000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69928DF2-C614-496C-9D8E-1A87893043AC}">
          <x14:formula1>
            <xm:f>'Building Input'!$P$20:$P$21</xm:f>
          </x14:formula1>
          <xm:sqref>H5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AD125"/>
  <sheetViews>
    <sheetView topLeftCell="D1" zoomScale="70" zoomScaleNormal="70" workbookViewId="0">
      <pane ySplit="5" topLeftCell="A6" activePane="bottomLeft" state="frozen"/>
      <selection pane="bottomLeft" activeCell="K12" sqref="K12"/>
      <selection activeCell="G47" sqref="G47:G61"/>
    </sheetView>
  </sheetViews>
  <sheetFormatPr defaultColWidth="9" defaultRowHeight="13.9"/>
  <cols>
    <col min="1" max="3" width="9" style="152" hidden="1" customWidth="1"/>
    <col min="4" max="4" width="2.75" style="152" customWidth="1"/>
    <col min="5" max="5" width="4" style="152" customWidth="1"/>
    <col min="6" max="6" width="24" style="10" customWidth="1"/>
    <col min="7" max="7" width="47.75" style="10" customWidth="1"/>
    <col min="8" max="8" width="9.625" style="8" customWidth="1"/>
    <col min="9" max="9" width="42.75" style="10" customWidth="1"/>
    <col min="10" max="11" width="14" style="8" customWidth="1"/>
    <col min="12" max="12" width="14" style="11" customWidth="1"/>
    <col min="13" max="15" width="47.75" style="212" customWidth="1"/>
    <col min="16" max="16" width="14" style="212" customWidth="1"/>
    <col min="17" max="17" width="13.75" style="11" hidden="1" customWidth="1"/>
    <col min="18" max="18" width="31.25" style="11" hidden="1" customWidth="1"/>
    <col min="19" max="19" width="9" style="11" hidden="1" customWidth="1"/>
    <col min="20" max="21" width="15.75" style="11" hidden="1" customWidth="1"/>
    <col min="22" max="22" width="9" style="11" hidden="1" customWidth="1"/>
    <col min="23" max="23" width="24.125" style="11" hidden="1" customWidth="1"/>
    <col min="24" max="26" width="14.125" style="11" hidden="1" customWidth="1"/>
    <col min="27" max="27" width="11.625" style="11" hidden="1" customWidth="1"/>
    <col min="28" max="29" width="14.125" style="11" hidden="1" customWidth="1"/>
    <col min="30" max="30" width="9" style="11" hidden="1" customWidth="1"/>
    <col min="31" max="31" width="0" style="11" hidden="1" customWidth="1"/>
    <col min="32" max="16384" width="9" style="11"/>
  </cols>
  <sheetData>
    <row r="1" spans="1:30" ht="43.5" customHeight="1">
      <c r="A1" s="152" t="s">
        <v>14</v>
      </c>
      <c r="B1" s="152" t="s">
        <v>14</v>
      </c>
      <c r="C1" s="152" t="s">
        <v>14</v>
      </c>
      <c r="F1" s="338" t="s">
        <v>300</v>
      </c>
      <c r="G1" s="339"/>
      <c r="H1" s="339"/>
      <c r="I1" s="339"/>
      <c r="J1" s="6"/>
      <c r="K1" s="6"/>
      <c r="L1" s="7"/>
      <c r="M1" s="199"/>
      <c r="N1" s="200"/>
      <c r="O1" s="200"/>
      <c r="P1" s="200"/>
      <c r="R1" s="11" t="s">
        <v>14</v>
      </c>
      <c r="S1" s="11" t="s">
        <v>14</v>
      </c>
      <c r="T1" s="11" t="s">
        <v>14</v>
      </c>
      <c r="U1" s="11" t="s">
        <v>14</v>
      </c>
      <c r="V1" s="11" t="s">
        <v>14</v>
      </c>
      <c r="W1" s="11" t="s">
        <v>14</v>
      </c>
      <c r="X1" s="11" t="s">
        <v>14</v>
      </c>
      <c r="Y1" s="11" t="s">
        <v>14</v>
      </c>
      <c r="Z1" s="11" t="s">
        <v>14</v>
      </c>
      <c r="AA1" s="11" t="s">
        <v>14</v>
      </c>
      <c r="AB1" s="11" t="s">
        <v>14</v>
      </c>
      <c r="AC1" s="11" t="s">
        <v>14</v>
      </c>
      <c r="AD1" s="11" t="s">
        <v>14</v>
      </c>
    </row>
    <row r="2" spans="1:30" ht="37.5" customHeight="1">
      <c r="A2" s="166" t="s">
        <v>77</v>
      </c>
      <c r="B2" s="166" t="s">
        <v>78</v>
      </c>
      <c r="C2" s="167" t="s">
        <v>79</v>
      </c>
      <c r="F2" s="12" t="s">
        <v>80</v>
      </c>
      <c r="G2" s="420">
        <f>'Building Input Sheet'!C5</f>
        <v>0</v>
      </c>
      <c r="H2" s="421"/>
      <c r="I2" s="13"/>
      <c r="J2" s="14" t="s">
        <v>81</v>
      </c>
      <c r="K2" s="14" t="s">
        <v>82</v>
      </c>
      <c r="L2" s="15"/>
      <c r="M2" s="201"/>
      <c r="N2" s="202"/>
      <c r="O2" s="202"/>
      <c r="P2" s="202"/>
      <c r="Q2" s="240"/>
    </row>
    <row r="3" spans="1:30" ht="37.5" customHeight="1">
      <c r="F3" s="19" t="s">
        <v>88</v>
      </c>
      <c r="G3" s="422" t="str">
        <f>IF(K3&gt;=75,"6 Stars - World Leadership",IF(K3&gt;=60,"5 Stars - New Zealand Excellence",IF(K3&gt;=45,"4 Stars - New Zealand Best Practice","")))</f>
        <v/>
      </c>
      <c r="H3" s="423"/>
      <c r="I3" s="20"/>
      <c r="J3" s="125">
        <f>J112</f>
        <v>100</v>
      </c>
      <c r="K3" s="126">
        <f>K115</f>
        <v>0</v>
      </c>
      <c r="L3" s="15"/>
      <c r="M3" s="201"/>
      <c r="N3" s="202"/>
      <c r="O3" s="202"/>
      <c r="P3" s="202"/>
      <c r="Q3" s="240"/>
    </row>
    <row r="4" spans="1:30" ht="37.5" customHeight="1">
      <c r="G4" s="22"/>
      <c r="H4" s="6"/>
      <c r="I4" s="22"/>
      <c r="J4" s="6"/>
      <c r="K4" s="6"/>
      <c r="L4" s="15"/>
      <c r="M4" s="201"/>
      <c r="N4" s="200"/>
      <c r="O4" s="200"/>
      <c r="P4" s="200"/>
      <c r="Q4" s="241"/>
    </row>
    <row r="5" spans="1:30" ht="45" customHeight="1">
      <c r="E5" s="153" t="s">
        <v>92</v>
      </c>
      <c r="F5" s="23" t="s">
        <v>93</v>
      </c>
      <c r="G5" s="23" t="s">
        <v>94</v>
      </c>
      <c r="H5" s="14" t="s">
        <v>95</v>
      </c>
      <c r="I5" s="23" t="s">
        <v>96</v>
      </c>
      <c r="J5" s="14" t="s">
        <v>97</v>
      </c>
      <c r="K5" s="14" t="s">
        <v>98</v>
      </c>
      <c r="L5" s="24"/>
      <c r="M5" s="203" t="s">
        <v>301</v>
      </c>
      <c r="N5" s="204"/>
      <c r="O5" s="204"/>
      <c r="P5" s="152"/>
      <c r="Q5" s="241"/>
    </row>
    <row r="6" spans="1:30" ht="45" customHeight="1">
      <c r="E6" s="26"/>
      <c r="F6" s="25" t="s">
        <v>110</v>
      </c>
      <c r="G6" s="26"/>
      <c r="H6" s="27"/>
      <c r="I6" s="26"/>
      <c r="J6" s="27">
        <f>15-SUM(B7:B24)</f>
        <v>15</v>
      </c>
      <c r="K6" s="27"/>
      <c r="L6" s="24"/>
      <c r="M6" s="205"/>
      <c r="N6" s="205"/>
      <c r="O6" s="205"/>
      <c r="P6" s="152"/>
      <c r="Q6" s="241"/>
      <c r="T6" s="107"/>
      <c r="U6" s="107"/>
      <c r="V6" s="105"/>
      <c r="W6" s="106" t="s">
        <v>302</v>
      </c>
      <c r="X6" s="106" t="s">
        <v>303</v>
      </c>
      <c r="Y6" s="106" t="s">
        <v>304</v>
      </c>
      <c r="Z6" s="106" t="s">
        <v>305</v>
      </c>
      <c r="AA6" s="105"/>
      <c r="AB6" s="106" t="s">
        <v>306</v>
      </c>
      <c r="AC6" s="106" t="s">
        <v>307</v>
      </c>
    </row>
    <row r="7" spans="1:30" ht="45" customHeight="1">
      <c r="E7" s="28"/>
      <c r="F7" s="184" t="s">
        <v>33</v>
      </c>
      <c r="G7" s="268" t="s">
        <v>112</v>
      </c>
      <c r="H7" s="28">
        <v>1</v>
      </c>
      <c r="I7" s="268" t="s">
        <v>308</v>
      </c>
      <c r="J7" s="29">
        <v>1</v>
      </c>
      <c r="K7" s="30"/>
      <c r="L7" s="31"/>
      <c r="M7" s="206"/>
      <c r="N7" s="207"/>
      <c r="O7" s="207"/>
      <c r="P7" s="200"/>
      <c r="Q7" s="200"/>
      <c r="T7" s="107"/>
      <c r="U7" s="107"/>
      <c r="V7" s="105"/>
      <c r="W7" s="106" t="s">
        <v>110</v>
      </c>
      <c r="X7" s="107">
        <v>15</v>
      </c>
      <c r="Y7" s="172"/>
      <c r="Z7" s="107">
        <f>K25</f>
        <v>0</v>
      </c>
      <c r="AA7" s="105"/>
      <c r="AB7" s="116" t="e">
        <f>#REF!</f>
        <v>#REF!</v>
      </c>
      <c r="AC7" s="116" t="e">
        <f>#REF!</f>
        <v>#REF!</v>
      </c>
    </row>
    <row r="8" spans="1:30" ht="45" customHeight="1">
      <c r="E8" s="28"/>
      <c r="F8" s="358" t="s">
        <v>113</v>
      </c>
      <c r="G8" s="361" t="s">
        <v>114</v>
      </c>
      <c r="H8" s="34">
        <v>2</v>
      </c>
      <c r="I8" s="38" t="s">
        <v>309</v>
      </c>
      <c r="J8" s="271" t="s">
        <v>144</v>
      </c>
      <c r="K8" s="36"/>
      <c r="L8" s="31"/>
      <c r="M8" s="206"/>
      <c r="N8" s="207"/>
      <c r="O8" s="207"/>
      <c r="P8" s="200"/>
      <c r="R8" s="197" t="s">
        <v>116</v>
      </c>
      <c r="S8" s="116"/>
      <c r="T8" s="107"/>
      <c r="U8" s="107" t="s">
        <v>117</v>
      </c>
      <c r="V8" s="105"/>
      <c r="W8" s="106" t="s">
        <v>157</v>
      </c>
      <c r="X8" s="107">
        <v>17</v>
      </c>
      <c r="Y8" s="107">
        <f>J45</f>
        <v>17</v>
      </c>
      <c r="Z8" s="107">
        <f>K45</f>
        <v>0</v>
      </c>
      <c r="AA8" s="105"/>
      <c r="AB8" s="116" t="e">
        <f>#REF!</f>
        <v>#REF!</v>
      </c>
      <c r="AC8" s="116" t="e">
        <f>#REF!</f>
        <v>#REF!</v>
      </c>
    </row>
    <row r="9" spans="1:30" ht="45" customHeight="1">
      <c r="E9" s="28"/>
      <c r="F9" s="391"/>
      <c r="G9" s="424"/>
      <c r="H9" s="37">
        <v>2.1</v>
      </c>
      <c r="I9" s="38" t="s">
        <v>118</v>
      </c>
      <c r="J9" s="39">
        <v>1</v>
      </c>
      <c r="K9" s="30"/>
      <c r="L9" s="31" t="str">
        <f>IF(AND(K9&gt;0,$K$8&lt;&gt;$AD$8),"!","")</f>
        <v/>
      </c>
      <c r="M9" s="206"/>
      <c r="N9" s="207"/>
      <c r="O9" s="207"/>
      <c r="P9" s="200"/>
      <c r="R9" s="197" t="s">
        <v>119</v>
      </c>
      <c r="S9" s="116" t="s">
        <v>120</v>
      </c>
      <c r="T9" s="107" t="s">
        <v>121</v>
      </c>
      <c r="U9" s="107" t="s">
        <v>122</v>
      </c>
      <c r="V9" s="105"/>
      <c r="W9" s="106" t="s">
        <v>186</v>
      </c>
      <c r="X9" s="107">
        <v>22</v>
      </c>
      <c r="Y9" s="107">
        <f>J52</f>
        <v>21</v>
      </c>
      <c r="Z9" s="107">
        <f>K52</f>
        <v>0</v>
      </c>
      <c r="AA9" s="105"/>
      <c r="AB9" s="116" t="e">
        <f>#REF!</f>
        <v>#REF!</v>
      </c>
      <c r="AC9" s="116" t="e">
        <f>#REF!</f>
        <v>#REF!</v>
      </c>
    </row>
    <row r="10" spans="1:30" ht="45" customHeight="1">
      <c r="E10" s="28"/>
      <c r="F10" s="391"/>
      <c r="G10" s="424"/>
      <c r="H10" s="37">
        <v>2.2000000000000002</v>
      </c>
      <c r="I10" s="38" t="s">
        <v>310</v>
      </c>
      <c r="J10" s="39">
        <v>1</v>
      </c>
      <c r="K10" s="30"/>
      <c r="L10" s="31" t="str">
        <f t="shared" ref="L10:L17" si="0">IF(AND(K10&gt;0,$K$8&lt;&gt;$AD$8),"!","")</f>
        <v/>
      </c>
      <c r="M10" s="206"/>
      <c r="N10" s="207"/>
      <c r="O10" s="207"/>
      <c r="P10" s="200"/>
      <c r="S10" s="116" t="s">
        <v>298</v>
      </c>
      <c r="T10" s="107" t="s">
        <v>130</v>
      </c>
      <c r="U10" s="105"/>
      <c r="V10" s="105"/>
      <c r="W10" s="106" t="s">
        <v>196</v>
      </c>
      <c r="X10" s="107">
        <v>10</v>
      </c>
      <c r="Y10" s="107">
        <f>J60</f>
        <v>10</v>
      </c>
      <c r="Z10" s="107">
        <f>K60</f>
        <v>0</v>
      </c>
      <c r="AA10" s="105"/>
      <c r="AB10" s="116" t="e">
        <f>#REF!</f>
        <v>#REF!</v>
      </c>
      <c r="AC10" s="116" t="e">
        <f>#REF!</f>
        <v>#REF!</v>
      </c>
    </row>
    <row r="11" spans="1:30" ht="45" customHeight="1">
      <c r="E11" s="28"/>
      <c r="F11" s="391"/>
      <c r="G11" s="424"/>
      <c r="H11" s="37">
        <v>2.2999999999999998</v>
      </c>
      <c r="I11" s="38" t="s">
        <v>311</v>
      </c>
      <c r="J11" s="39">
        <v>1</v>
      </c>
      <c r="K11" s="30"/>
      <c r="L11" s="31" t="str">
        <f t="shared" si="0"/>
        <v/>
      </c>
      <c r="M11" s="206"/>
      <c r="N11" s="207"/>
      <c r="O11" s="207"/>
      <c r="P11" s="200"/>
      <c r="S11" s="116" t="s">
        <v>129</v>
      </c>
      <c r="T11" s="107" t="s">
        <v>132</v>
      </c>
      <c r="U11" s="105"/>
      <c r="V11" s="105"/>
      <c r="W11" s="106" t="s">
        <v>212</v>
      </c>
      <c r="X11" s="107">
        <v>12</v>
      </c>
      <c r="Y11" s="107">
        <f>J69</f>
        <v>6</v>
      </c>
      <c r="Z11" s="107">
        <f>K69</f>
        <v>0</v>
      </c>
      <c r="AA11" s="105"/>
      <c r="AB11" s="116" t="e">
        <f>#REF!</f>
        <v>#REF!</v>
      </c>
      <c r="AC11" s="116" t="e">
        <f>#REF!</f>
        <v>#REF!</v>
      </c>
    </row>
    <row r="12" spans="1:30" ht="45" customHeight="1">
      <c r="E12" s="28"/>
      <c r="F12" s="391"/>
      <c r="G12" s="424"/>
      <c r="H12" s="37">
        <v>2.4</v>
      </c>
      <c r="I12" s="38" t="s">
        <v>123</v>
      </c>
      <c r="J12" s="39">
        <v>1</v>
      </c>
      <c r="K12" s="30"/>
      <c r="L12" s="31" t="str">
        <f t="shared" si="0"/>
        <v/>
      </c>
      <c r="M12" s="206"/>
      <c r="N12" s="207"/>
      <c r="O12" s="207"/>
      <c r="P12" s="200"/>
      <c r="S12" s="116" t="s">
        <v>299</v>
      </c>
      <c r="T12" s="107"/>
      <c r="U12" s="105"/>
      <c r="V12" s="105"/>
      <c r="W12" s="106" t="s">
        <v>226</v>
      </c>
      <c r="X12" s="107">
        <v>14</v>
      </c>
      <c r="Y12" s="107">
        <f>J84</f>
        <v>12</v>
      </c>
      <c r="Z12" s="107">
        <f>K84</f>
        <v>0</v>
      </c>
      <c r="AA12" s="105"/>
      <c r="AB12" s="116" t="e">
        <f>#REF!</f>
        <v>#REF!</v>
      </c>
      <c r="AC12" s="116" t="e">
        <f>#REF!</f>
        <v>#REF!</v>
      </c>
    </row>
    <row r="13" spans="1:30" ht="45" customHeight="1">
      <c r="E13" s="28"/>
      <c r="F13" s="356" t="s">
        <v>126</v>
      </c>
      <c r="G13" s="418" t="s">
        <v>127</v>
      </c>
      <c r="H13" s="28">
        <v>3</v>
      </c>
      <c r="I13" s="268" t="s">
        <v>312</v>
      </c>
      <c r="J13" s="29">
        <v>2</v>
      </c>
      <c r="K13" s="30"/>
      <c r="L13" s="31" t="str">
        <f t="shared" si="0"/>
        <v/>
      </c>
      <c r="M13" s="206"/>
      <c r="N13" s="207"/>
      <c r="O13" s="207"/>
      <c r="P13" s="200"/>
      <c r="T13" s="105"/>
      <c r="U13" s="105"/>
      <c r="V13" s="105"/>
      <c r="W13" s="106" t="s">
        <v>313</v>
      </c>
      <c r="X13" s="107">
        <v>5</v>
      </c>
      <c r="Y13" s="107">
        <f>J92</f>
        <v>5</v>
      </c>
      <c r="Z13" s="107">
        <f>K92</f>
        <v>0</v>
      </c>
      <c r="AA13" s="105"/>
      <c r="AB13" s="116" t="e">
        <f>#REF!</f>
        <v>#REF!</v>
      </c>
      <c r="AC13" s="116" t="e">
        <f>#REF!</f>
        <v>#REF!</v>
      </c>
    </row>
    <row r="14" spans="1:30" ht="76.5" customHeight="1">
      <c r="E14" s="28"/>
      <c r="F14" s="358"/>
      <c r="G14" s="419"/>
      <c r="H14" s="28">
        <v>3.1</v>
      </c>
      <c r="I14" s="268" t="s">
        <v>314</v>
      </c>
      <c r="J14" s="29">
        <v>1</v>
      </c>
      <c r="K14" s="30"/>
      <c r="L14" s="31"/>
      <c r="M14" s="206"/>
      <c r="N14" s="207"/>
      <c r="O14" s="207"/>
      <c r="P14" s="200"/>
      <c r="T14" s="105"/>
      <c r="U14" s="105"/>
      <c r="V14" s="105"/>
      <c r="W14" s="106" t="s">
        <v>258</v>
      </c>
      <c r="X14" s="107">
        <v>5</v>
      </c>
      <c r="Y14" s="107">
        <f>J101</f>
        <v>5</v>
      </c>
      <c r="Z14" s="107">
        <f>K101</f>
        <v>0</v>
      </c>
      <c r="AA14" s="105"/>
      <c r="AB14" s="116" t="e">
        <f>#REF!</f>
        <v>#REF!</v>
      </c>
      <c r="AC14" s="116" t="e">
        <f>#REF!</f>
        <v>#REF!</v>
      </c>
    </row>
    <row r="15" spans="1:30" ht="45" customHeight="1">
      <c r="E15" s="28"/>
      <c r="F15" s="184" t="s">
        <v>135</v>
      </c>
      <c r="G15" s="265" t="s">
        <v>136</v>
      </c>
      <c r="H15" s="28">
        <v>4.0999999999999996</v>
      </c>
      <c r="I15" s="268" t="s">
        <v>135</v>
      </c>
      <c r="J15" s="29">
        <v>1</v>
      </c>
      <c r="K15" s="30"/>
      <c r="L15" s="31" t="str">
        <f t="shared" si="0"/>
        <v/>
      </c>
      <c r="M15" s="206"/>
      <c r="N15" s="207"/>
      <c r="O15" s="207"/>
      <c r="P15" s="200"/>
      <c r="T15" s="105"/>
      <c r="U15" s="105"/>
      <c r="V15" s="105"/>
      <c r="W15" s="106" t="s">
        <v>315</v>
      </c>
      <c r="X15" s="116">
        <f>J112</f>
        <v>100</v>
      </c>
      <c r="Y15" s="171"/>
      <c r="Z15" s="107"/>
      <c r="AA15" s="105"/>
    </row>
    <row r="16" spans="1:30" ht="45" customHeight="1">
      <c r="E16" s="28"/>
      <c r="F16" s="391" t="s">
        <v>137</v>
      </c>
      <c r="G16" s="366" t="s">
        <v>138</v>
      </c>
      <c r="H16" s="28">
        <v>5.0999999999999996</v>
      </c>
      <c r="I16" s="268" t="s">
        <v>139</v>
      </c>
      <c r="J16" s="29">
        <v>1</v>
      </c>
      <c r="K16" s="30"/>
      <c r="L16" s="31" t="str">
        <f t="shared" si="0"/>
        <v/>
      </c>
      <c r="M16" s="206"/>
      <c r="N16" s="207"/>
      <c r="O16" s="207"/>
      <c r="P16" s="200"/>
      <c r="T16" s="105"/>
      <c r="U16" s="105"/>
      <c r="V16" s="105"/>
      <c r="W16" s="106" t="s">
        <v>316</v>
      </c>
      <c r="AB16" s="191" t="e">
        <f>(#REF!/X15)*100</f>
        <v>#REF!</v>
      </c>
      <c r="AC16" s="191" t="e">
        <f>(#REF!/X15)*100</f>
        <v>#REF!</v>
      </c>
      <c r="AD16" s="11" t="s">
        <v>317</v>
      </c>
    </row>
    <row r="17" spans="1:30" ht="45" customHeight="1">
      <c r="E17" s="28"/>
      <c r="F17" s="391"/>
      <c r="G17" s="366"/>
      <c r="H17" s="28">
        <v>5.2</v>
      </c>
      <c r="I17" s="268" t="s">
        <v>140</v>
      </c>
      <c r="J17" s="29">
        <v>1</v>
      </c>
      <c r="K17" s="30"/>
      <c r="L17" s="31" t="str">
        <f t="shared" si="0"/>
        <v/>
      </c>
      <c r="M17" s="206"/>
      <c r="N17" s="207"/>
      <c r="O17" s="207"/>
      <c r="P17" s="200"/>
      <c r="T17" s="105"/>
      <c r="U17" s="105"/>
      <c r="V17" s="105"/>
      <c r="W17" s="106" t="s">
        <v>273</v>
      </c>
      <c r="AB17" s="116" t="e">
        <f>#REF!</f>
        <v>#REF!</v>
      </c>
      <c r="AC17" s="116" t="e">
        <f>#REF!</f>
        <v>#REF!</v>
      </c>
    </row>
    <row r="18" spans="1:30" ht="45" customHeight="1">
      <c r="E18" s="28"/>
      <c r="F18" s="391" t="s">
        <v>141</v>
      </c>
      <c r="G18" s="366" t="s">
        <v>142</v>
      </c>
      <c r="H18" s="28">
        <v>6</v>
      </c>
      <c r="I18" s="268" t="s">
        <v>143</v>
      </c>
      <c r="J18" s="196" t="s">
        <v>144</v>
      </c>
      <c r="K18" s="36"/>
      <c r="L18" s="31"/>
      <c r="M18" s="206"/>
      <c r="N18" s="207"/>
      <c r="O18" s="207"/>
      <c r="P18" s="200"/>
      <c r="T18" s="105"/>
      <c r="U18" s="105"/>
      <c r="V18" s="105"/>
      <c r="W18" s="106" t="s">
        <v>318</v>
      </c>
      <c r="AB18" s="191" t="e">
        <f>AB16+AB17</f>
        <v>#REF!</v>
      </c>
      <c r="AC18" s="191" t="e">
        <f>AC16+AC17</f>
        <v>#REF!</v>
      </c>
      <c r="AD18" s="11" t="s">
        <v>319</v>
      </c>
    </row>
    <row r="19" spans="1:30" ht="45" customHeight="1">
      <c r="E19" s="28"/>
      <c r="F19" s="391"/>
      <c r="G19" s="366"/>
      <c r="H19" s="28">
        <v>6.1</v>
      </c>
      <c r="I19" s="268" t="s">
        <v>145</v>
      </c>
      <c r="J19" s="29">
        <v>1</v>
      </c>
      <c r="K19" s="30"/>
      <c r="L19" s="31" t="str">
        <f>IF(AND(K19&gt;0,$K$18&lt;&gt;$AD$8),"!","")</f>
        <v/>
      </c>
      <c r="M19" s="206"/>
      <c r="N19" s="207"/>
      <c r="O19" s="207"/>
      <c r="P19" s="200"/>
      <c r="T19" s="105"/>
      <c r="U19" s="105"/>
      <c r="V19" s="105"/>
    </row>
    <row r="20" spans="1:30" ht="45" customHeight="1">
      <c r="E20" s="28"/>
      <c r="F20" s="356" t="s">
        <v>320</v>
      </c>
      <c r="G20" s="362" t="s">
        <v>147</v>
      </c>
      <c r="H20" s="28">
        <v>7</v>
      </c>
      <c r="I20" s="268" t="s">
        <v>148</v>
      </c>
      <c r="J20" s="272" t="s">
        <v>144</v>
      </c>
      <c r="K20" s="41"/>
      <c r="L20" s="31"/>
      <c r="M20" s="206"/>
      <c r="N20" s="207"/>
      <c r="O20" s="207"/>
      <c r="P20" s="200"/>
      <c r="T20" s="105"/>
      <c r="U20" s="105"/>
      <c r="V20" s="105"/>
    </row>
    <row r="21" spans="1:30" ht="45" customHeight="1">
      <c r="E21" s="28"/>
      <c r="F21" s="357"/>
      <c r="G21" s="363"/>
      <c r="H21" s="28">
        <v>7.1</v>
      </c>
      <c r="I21" s="268" t="s">
        <v>321</v>
      </c>
      <c r="J21" s="40">
        <v>1</v>
      </c>
      <c r="K21" s="42"/>
      <c r="L21" s="31" t="str">
        <f>IF(AND(K21&gt;0,$K$20&lt;&gt;$AD$8),"!","")</f>
        <v/>
      </c>
      <c r="M21" s="206"/>
      <c r="N21" s="207"/>
      <c r="O21" s="207"/>
      <c r="P21" s="200"/>
      <c r="T21" s="105"/>
      <c r="U21" s="105"/>
      <c r="V21" s="105"/>
    </row>
    <row r="22" spans="1:30" ht="45" customHeight="1">
      <c r="E22" s="28"/>
      <c r="F22" s="358"/>
      <c r="G22" s="364"/>
      <c r="H22" s="28">
        <v>7.2</v>
      </c>
      <c r="I22" s="268" t="s">
        <v>150</v>
      </c>
      <c r="J22" s="40">
        <v>1</v>
      </c>
      <c r="K22" s="42"/>
      <c r="L22" s="31" t="str">
        <f>IF(AND(K22&gt;0,$K$20&lt;&gt;$AD$8),"!","")</f>
        <v/>
      </c>
      <c r="M22" s="206"/>
      <c r="N22" s="207"/>
      <c r="O22" s="207"/>
      <c r="P22" s="200"/>
      <c r="T22" s="105"/>
      <c r="U22" s="105"/>
      <c r="V22" s="105"/>
    </row>
    <row r="23" spans="1:30" ht="45" customHeight="1">
      <c r="E23" s="28"/>
      <c r="F23" s="356" t="s">
        <v>151</v>
      </c>
      <c r="G23" s="425" t="s">
        <v>116</v>
      </c>
      <c r="H23" s="28" t="s">
        <v>152</v>
      </c>
      <c r="I23" s="268" t="s">
        <v>153</v>
      </c>
      <c r="J23" s="40">
        <f>IF(G23=R8,1,"0")</f>
        <v>1</v>
      </c>
      <c r="K23" s="42"/>
      <c r="L23" s="31" t="str">
        <f>IF(AND(K23&gt;0,G23="Prescriptive Pathway"),"!","")</f>
        <v/>
      </c>
      <c r="M23" s="206"/>
      <c r="N23" s="207"/>
      <c r="O23" s="207"/>
      <c r="P23" s="200"/>
    </row>
    <row r="24" spans="1:30" ht="37.5" customHeight="1">
      <c r="E24" s="28"/>
      <c r="F24" s="358"/>
      <c r="G24" s="370"/>
      <c r="H24" s="28" t="s">
        <v>154</v>
      </c>
      <c r="I24" s="268" t="s">
        <v>155</v>
      </c>
      <c r="J24" s="40" t="str">
        <f>IF(G23=R9,1,"0")</f>
        <v>0</v>
      </c>
      <c r="K24" s="42"/>
      <c r="L24" s="31" t="str">
        <f>IF(AND(K24&gt;0,G23="Performance Pathway"),"!","")</f>
        <v/>
      </c>
      <c r="M24" s="206"/>
      <c r="N24" s="207"/>
      <c r="O24" s="207"/>
      <c r="P24" s="200"/>
    </row>
    <row r="25" spans="1:30" ht="45" customHeight="1">
      <c r="E25" s="44"/>
      <c r="F25" s="44" t="s">
        <v>27</v>
      </c>
      <c r="G25" s="44"/>
      <c r="H25" s="45"/>
      <c r="I25" s="44"/>
      <c r="J25" s="45">
        <f>SUM(J7:J24)</f>
        <v>15</v>
      </c>
      <c r="K25" s="45">
        <f>SUM(K7:K24)</f>
        <v>0</v>
      </c>
      <c r="L25" s="31" t="str">
        <f>IF(K25&gt;J25,"!","")</f>
        <v/>
      </c>
      <c r="M25" s="208"/>
      <c r="N25" s="200"/>
      <c r="O25" s="200"/>
      <c r="P25" s="200"/>
    </row>
    <row r="26" spans="1:30" ht="45" customHeight="1">
      <c r="F26" s="48"/>
      <c r="G26" s="49"/>
      <c r="H26" s="50"/>
      <c r="I26" s="51"/>
      <c r="J26" s="52"/>
      <c r="K26" s="53"/>
      <c r="L26" s="24"/>
      <c r="M26" s="209"/>
      <c r="N26" s="200"/>
      <c r="O26" s="200"/>
      <c r="P26" s="200"/>
    </row>
    <row r="27" spans="1:30" ht="45" customHeight="1">
      <c r="E27" s="26"/>
      <c r="F27" s="371" t="s">
        <v>157</v>
      </c>
      <c r="G27" s="371"/>
      <c r="H27" s="371"/>
      <c r="I27" s="371"/>
      <c r="J27" s="165">
        <f>17-SUM(B28:B44)</f>
        <v>17</v>
      </c>
      <c r="K27" s="54"/>
      <c r="L27" s="31"/>
      <c r="M27" s="205"/>
      <c r="N27" s="205"/>
      <c r="O27" s="205"/>
      <c r="P27" s="209"/>
      <c r="Q27" s="208"/>
    </row>
    <row r="28" spans="1:30" ht="45" customHeight="1">
      <c r="A28" s="152">
        <v>1</v>
      </c>
      <c r="B28" s="152">
        <f>IF(C28=TRUE,A28,0)</f>
        <v>0</v>
      </c>
      <c r="C28" s="152" t="b">
        <v>0</v>
      </c>
      <c r="E28" s="28"/>
      <c r="F28" s="365" t="s">
        <v>158</v>
      </c>
      <c r="G28" s="366" t="s">
        <v>159</v>
      </c>
      <c r="H28" s="28">
        <v>9.1</v>
      </c>
      <c r="I28" s="57" t="s">
        <v>160</v>
      </c>
      <c r="J28" s="58">
        <f>IF(C28=FALSE,A28,0)</f>
        <v>1</v>
      </c>
      <c r="K28" s="59"/>
      <c r="L28" s="31"/>
      <c r="M28" s="206"/>
      <c r="N28" s="206"/>
      <c r="O28" s="206"/>
      <c r="P28" s="209"/>
      <c r="Q28" s="208"/>
    </row>
    <row r="29" spans="1:30" ht="45" customHeight="1">
      <c r="A29" s="152">
        <v>2</v>
      </c>
      <c r="B29" s="152">
        <f t="shared" ref="B29:B44" si="1">IF(C29=TRUE,A29,0)</f>
        <v>0</v>
      </c>
      <c r="C29" s="152" t="b">
        <v>0</v>
      </c>
      <c r="E29" s="28"/>
      <c r="F29" s="365"/>
      <c r="G29" s="366"/>
      <c r="H29" s="28">
        <v>9.1999999999999993</v>
      </c>
      <c r="I29" s="57" t="s">
        <v>161</v>
      </c>
      <c r="J29" s="58">
        <f t="shared" ref="J29:J44" si="2">IF(C29=FALSE,A29,0)</f>
        <v>2</v>
      </c>
      <c r="K29" s="59"/>
      <c r="L29" s="31"/>
      <c r="M29" s="206"/>
      <c r="N29" s="206"/>
      <c r="O29" s="206"/>
      <c r="P29" s="209"/>
      <c r="Q29" s="208"/>
    </row>
    <row r="30" spans="1:30" ht="45" customHeight="1">
      <c r="A30" s="152">
        <v>1</v>
      </c>
      <c r="B30" s="152">
        <f t="shared" si="1"/>
        <v>0</v>
      </c>
      <c r="C30" s="152" t="b">
        <v>0</v>
      </c>
      <c r="E30" s="28"/>
      <c r="F30" s="365"/>
      <c r="G30" s="366"/>
      <c r="H30" s="28">
        <v>9.3000000000000007</v>
      </c>
      <c r="I30" s="57" t="s">
        <v>162</v>
      </c>
      <c r="J30" s="58">
        <f t="shared" si="2"/>
        <v>1</v>
      </c>
      <c r="K30" s="59"/>
      <c r="L30" s="31"/>
      <c r="M30" s="206"/>
      <c r="N30" s="206"/>
      <c r="O30" s="206"/>
      <c r="P30" s="209"/>
      <c r="Q30" s="208"/>
    </row>
    <row r="31" spans="1:30" ht="45" customHeight="1">
      <c r="A31" s="152">
        <v>1</v>
      </c>
      <c r="B31" s="152">
        <f t="shared" si="1"/>
        <v>0</v>
      </c>
      <c r="C31" s="152" t="b">
        <v>0</v>
      </c>
      <c r="E31" s="28"/>
      <c r="F31" s="365" t="s">
        <v>163</v>
      </c>
      <c r="G31" s="366" t="s">
        <v>164</v>
      </c>
      <c r="H31" s="28">
        <v>10.1</v>
      </c>
      <c r="I31" s="57" t="s">
        <v>165</v>
      </c>
      <c r="J31" s="58">
        <f t="shared" si="2"/>
        <v>1</v>
      </c>
      <c r="K31" s="59"/>
      <c r="L31" s="31"/>
      <c r="M31" s="206"/>
      <c r="N31" s="206"/>
      <c r="O31" s="206"/>
      <c r="P31" s="209"/>
      <c r="Q31" s="208"/>
    </row>
    <row r="32" spans="1:30" ht="45" customHeight="1">
      <c r="A32" s="152">
        <v>1</v>
      </c>
      <c r="B32" s="152">
        <f t="shared" si="1"/>
        <v>0</v>
      </c>
      <c r="C32" s="152" t="b">
        <v>0</v>
      </c>
      <c r="E32" s="28"/>
      <c r="F32" s="365"/>
      <c r="G32" s="366"/>
      <c r="H32" s="28">
        <v>10.199999999999999</v>
      </c>
      <c r="I32" s="57" t="s">
        <v>166</v>
      </c>
      <c r="J32" s="58">
        <f t="shared" si="2"/>
        <v>1</v>
      </c>
      <c r="K32" s="59"/>
      <c r="L32" s="31"/>
      <c r="M32" s="206"/>
      <c r="N32" s="206"/>
      <c r="O32" s="206"/>
      <c r="P32" s="209"/>
      <c r="Q32" s="208"/>
    </row>
    <row r="33" spans="1:17" ht="45" customHeight="1">
      <c r="A33" s="152">
        <v>1</v>
      </c>
      <c r="B33" s="152">
        <f t="shared" si="1"/>
        <v>0</v>
      </c>
      <c r="C33" s="152" t="b">
        <v>0</v>
      </c>
      <c r="E33" s="28"/>
      <c r="F33" s="365"/>
      <c r="G33" s="366"/>
      <c r="H33" s="28">
        <v>10.3</v>
      </c>
      <c r="I33" s="57" t="s">
        <v>167</v>
      </c>
      <c r="J33" s="58">
        <f t="shared" si="2"/>
        <v>1</v>
      </c>
      <c r="K33" s="59"/>
      <c r="L33" s="31"/>
      <c r="M33" s="206"/>
      <c r="N33" s="206"/>
      <c r="O33" s="206"/>
      <c r="P33" s="209"/>
      <c r="Q33" s="208"/>
    </row>
    <row r="34" spans="1:17" ht="45" customHeight="1">
      <c r="E34" s="28"/>
      <c r="F34" s="365" t="s">
        <v>168</v>
      </c>
      <c r="G34" s="366" t="s">
        <v>169</v>
      </c>
      <c r="H34" s="28">
        <v>11</v>
      </c>
      <c r="I34" s="57" t="s">
        <v>170</v>
      </c>
      <c r="J34" s="273" t="s">
        <v>144</v>
      </c>
      <c r="K34" s="59"/>
      <c r="L34" s="31"/>
      <c r="M34" s="206"/>
      <c r="N34" s="206"/>
      <c r="O34" s="206"/>
      <c r="P34" s="209"/>
      <c r="Q34" s="208"/>
    </row>
    <row r="35" spans="1:17" ht="45" customHeight="1">
      <c r="A35" s="152">
        <v>1</v>
      </c>
      <c r="B35" s="152">
        <f t="shared" si="1"/>
        <v>0</v>
      </c>
      <c r="C35" s="152" t="b">
        <v>0</v>
      </c>
      <c r="E35" s="28"/>
      <c r="F35" s="365"/>
      <c r="G35" s="366"/>
      <c r="H35" s="28">
        <v>11.1</v>
      </c>
      <c r="I35" s="57" t="s">
        <v>171</v>
      </c>
      <c r="J35" s="58">
        <f t="shared" si="2"/>
        <v>1</v>
      </c>
      <c r="K35" s="59"/>
      <c r="L35" s="31" t="str">
        <f>IF(AND(K35&gt;0,$K$34&lt;&gt;$AD$8),"!","")</f>
        <v/>
      </c>
      <c r="M35" s="206"/>
      <c r="N35" s="206"/>
      <c r="O35" s="206"/>
      <c r="P35" s="209"/>
      <c r="Q35" s="208"/>
    </row>
    <row r="36" spans="1:17" ht="45" customHeight="1">
      <c r="A36" s="152">
        <v>1</v>
      </c>
      <c r="B36" s="152">
        <f t="shared" si="1"/>
        <v>0</v>
      </c>
      <c r="C36" s="152" t="b">
        <v>0</v>
      </c>
      <c r="E36" s="28"/>
      <c r="F36" s="365"/>
      <c r="G36" s="366"/>
      <c r="H36" s="28">
        <v>11.2</v>
      </c>
      <c r="I36" s="57" t="s">
        <v>172</v>
      </c>
      <c r="J36" s="58">
        <f t="shared" si="2"/>
        <v>1</v>
      </c>
      <c r="K36" s="59"/>
      <c r="L36" s="31" t="str">
        <f>IF(AND(K36&gt;0,$K$34&lt;&gt;$AD$8),"!","")</f>
        <v/>
      </c>
      <c r="M36" s="206"/>
      <c r="N36" s="206"/>
      <c r="O36" s="206"/>
      <c r="P36" s="209"/>
      <c r="Q36" s="208"/>
    </row>
    <row r="37" spans="1:17" ht="45" customHeight="1">
      <c r="A37" s="152">
        <v>1</v>
      </c>
      <c r="B37" s="152">
        <f t="shared" si="1"/>
        <v>0</v>
      </c>
      <c r="C37" s="152" t="b">
        <v>0</v>
      </c>
      <c r="E37" s="28"/>
      <c r="F37" s="365"/>
      <c r="G37" s="366"/>
      <c r="H37" s="28">
        <v>11.3</v>
      </c>
      <c r="I37" s="57" t="s">
        <v>173</v>
      </c>
      <c r="J37" s="58">
        <f t="shared" si="2"/>
        <v>1</v>
      </c>
      <c r="K37" s="59"/>
      <c r="L37" s="31" t="str">
        <f>IF(AND(K37&gt;0,$K$34&lt;&gt;$AD$8),"!","")</f>
        <v/>
      </c>
      <c r="M37" s="206"/>
      <c r="N37" s="206"/>
      <c r="O37" s="206"/>
      <c r="P37" s="209"/>
      <c r="Q37" s="208"/>
    </row>
    <row r="38" spans="1:17" ht="45" customHeight="1">
      <c r="E38" s="28"/>
      <c r="F38" s="365" t="s">
        <v>174</v>
      </c>
      <c r="G38" s="366" t="s">
        <v>175</v>
      </c>
      <c r="H38" s="28">
        <v>12</v>
      </c>
      <c r="I38" s="57" t="s">
        <v>176</v>
      </c>
      <c r="J38" s="273" t="s">
        <v>144</v>
      </c>
      <c r="K38" s="59"/>
      <c r="L38" s="31"/>
      <c r="M38" s="206"/>
      <c r="N38" s="206"/>
      <c r="O38" s="206"/>
      <c r="P38" s="209"/>
      <c r="Q38" s="208"/>
    </row>
    <row r="39" spans="1:17" ht="45" customHeight="1">
      <c r="A39" s="152">
        <v>2</v>
      </c>
      <c r="B39" s="152">
        <f t="shared" si="1"/>
        <v>0</v>
      </c>
      <c r="C39" s="152" t="b">
        <v>0</v>
      </c>
      <c r="E39" s="28"/>
      <c r="F39" s="365"/>
      <c r="G39" s="366"/>
      <c r="H39" s="28">
        <v>12.1</v>
      </c>
      <c r="I39" s="57" t="s">
        <v>177</v>
      </c>
      <c r="J39" s="58">
        <f t="shared" si="2"/>
        <v>2</v>
      </c>
      <c r="K39" s="59"/>
      <c r="L39" s="31" t="str">
        <f>IF(AND(K39&gt;0,$K$38&lt;&gt;$AD$8),"!","")</f>
        <v/>
      </c>
      <c r="M39" s="206"/>
      <c r="N39" s="206"/>
      <c r="O39" s="206"/>
      <c r="P39" s="209"/>
      <c r="Q39" s="208"/>
    </row>
    <row r="40" spans="1:17" ht="45" customHeight="1">
      <c r="A40" s="152">
        <v>1</v>
      </c>
      <c r="B40" s="152">
        <f t="shared" si="1"/>
        <v>0</v>
      </c>
      <c r="C40" s="152" t="b">
        <v>0</v>
      </c>
      <c r="E40" s="28"/>
      <c r="F40" s="365"/>
      <c r="G40" s="366"/>
      <c r="H40" s="28">
        <v>12.2</v>
      </c>
      <c r="I40" s="57" t="s">
        <v>178</v>
      </c>
      <c r="J40" s="58">
        <f t="shared" si="2"/>
        <v>1</v>
      </c>
      <c r="K40" s="59"/>
      <c r="L40" s="31" t="str">
        <f>IF(AND(K40&gt;0,$K$38&lt;&gt;$AD$8),"!","")</f>
        <v/>
      </c>
      <c r="M40" s="206"/>
      <c r="N40" s="206"/>
      <c r="O40" s="206"/>
      <c r="P40" s="209"/>
      <c r="Q40" s="208"/>
    </row>
    <row r="41" spans="1:17" ht="45" customHeight="1">
      <c r="A41" s="152">
        <v>1</v>
      </c>
      <c r="B41" s="152">
        <f t="shared" si="1"/>
        <v>0</v>
      </c>
      <c r="C41" s="152" t="b">
        <v>0</v>
      </c>
      <c r="E41" s="28"/>
      <c r="F41" s="365" t="s">
        <v>179</v>
      </c>
      <c r="G41" s="366" t="s">
        <v>180</v>
      </c>
      <c r="H41" s="28">
        <v>13.1</v>
      </c>
      <c r="I41" s="57" t="s">
        <v>181</v>
      </c>
      <c r="J41" s="58">
        <f t="shared" si="2"/>
        <v>1</v>
      </c>
      <c r="K41" s="59"/>
      <c r="L41" s="31"/>
      <c r="M41" s="206"/>
      <c r="N41" s="206"/>
      <c r="O41" s="206"/>
      <c r="P41" s="209"/>
      <c r="Q41" s="208"/>
    </row>
    <row r="42" spans="1:17" ht="45" customHeight="1">
      <c r="A42" s="152">
        <v>1</v>
      </c>
      <c r="B42" s="152">
        <f t="shared" si="1"/>
        <v>0</v>
      </c>
      <c r="C42" s="152" t="b">
        <v>0</v>
      </c>
      <c r="E42" s="28"/>
      <c r="F42" s="365"/>
      <c r="G42" s="366"/>
      <c r="H42" s="28">
        <v>13.2</v>
      </c>
      <c r="I42" s="57" t="s">
        <v>182</v>
      </c>
      <c r="J42" s="58">
        <f t="shared" si="2"/>
        <v>1</v>
      </c>
      <c r="K42" s="59"/>
      <c r="L42" s="31"/>
      <c r="M42" s="206"/>
      <c r="N42" s="206"/>
      <c r="O42" s="206"/>
      <c r="P42" s="209"/>
      <c r="Q42" s="208"/>
    </row>
    <row r="43" spans="1:17" ht="45" customHeight="1">
      <c r="A43" s="152">
        <v>1</v>
      </c>
      <c r="B43" s="152">
        <f t="shared" si="1"/>
        <v>0</v>
      </c>
      <c r="C43" s="152" t="b">
        <v>0</v>
      </c>
      <c r="E43" s="28"/>
      <c r="F43" s="365" t="s">
        <v>183</v>
      </c>
      <c r="G43" s="366" t="s">
        <v>184</v>
      </c>
      <c r="H43" s="28">
        <v>14.1</v>
      </c>
      <c r="I43" s="57" t="s">
        <v>183</v>
      </c>
      <c r="J43" s="58">
        <f t="shared" si="2"/>
        <v>1</v>
      </c>
      <c r="K43" s="59"/>
      <c r="L43" s="31"/>
      <c r="M43" s="206"/>
      <c r="N43" s="206"/>
      <c r="O43" s="206"/>
      <c r="P43" s="209"/>
      <c r="Q43" s="208"/>
    </row>
    <row r="44" spans="1:17" ht="45" customHeight="1">
      <c r="A44" s="152">
        <v>1</v>
      </c>
      <c r="B44" s="152">
        <f t="shared" si="1"/>
        <v>0</v>
      </c>
      <c r="C44" s="152" t="b">
        <v>0</v>
      </c>
      <c r="E44" s="28"/>
      <c r="F44" s="372"/>
      <c r="G44" s="362"/>
      <c r="H44" s="28">
        <v>14.2</v>
      </c>
      <c r="I44" s="57" t="s">
        <v>185</v>
      </c>
      <c r="J44" s="58">
        <f t="shared" si="2"/>
        <v>1</v>
      </c>
      <c r="K44" s="59"/>
      <c r="L44" s="31"/>
      <c r="M44" s="206"/>
      <c r="N44" s="206"/>
      <c r="O44" s="206"/>
      <c r="P44" s="200"/>
    </row>
    <row r="45" spans="1:17" ht="45" customHeight="1">
      <c r="E45" s="44"/>
      <c r="F45" s="44" t="s">
        <v>27</v>
      </c>
      <c r="G45" s="44"/>
      <c r="H45" s="45"/>
      <c r="I45" s="44"/>
      <c r="J45" s="45">
        <f>SUM(J28:J44)</f>
        <v>17</v>
      </c>
      <c r="K45" s="45">
        <f>SUM(K28:K44)</f>
        <v>0</v>
      </c>
      <c r="L45" s="31" t="str">
        <f>IF(K45&gt;J45,"!","")</f>
        <v/>
      </c>
      <c r="M45" s="208"/>
      <c r="N45" s="200"/>
      <c r="O45" s="200"/>
      <c r="P45" s="200"/>
    </row>
    <row r="46" spans="1:17" ht="45" customHeight="1">
      <c r="F46" s="62"/>
      <c r="G46" s="62"/>
      <c r="H46" s="6"/>
      <c r="I46" s="62"/>
      <c r="J46" s="6"/>
      <c r="K46" s="6"/>
      <c r="L46" s="63"/>
      <c r="M46" s="210"/>
      <c r="N46" s="200"/>
      <c r="O46" s="200"/>
      <c r="P46" s="200"/>
    </row>
    <row r="47" spans="1:17" ht="45" customHeight="1">
      <c r="E47" s="26"/>
      <c r="F47" s="375" t="s">
        <v>186</v>
      </c>
      <c r="G47" s="375"/>
      <c r="H47" s="375"/>
      <c r="I47" s="375"/>
      <c r="J47" s="54">
        <f>22-SUM(B48:B51)</f>
        <v>22</v>
      </c>
      <c r="K47" s="54"/>
      <c r="L47" s="64"/>
      <c r="M47" s="205"/>
      <c r="N47" s="205"/>
      <c r="O47" s="205"/>
      <c r="P47" s="209"/>
      <c r="Q47" s="208"/>
    </row>
    <row r="48" spans="1:17" ht="45" customHeight="1">
      <c r="E48" s="28"/>
      <c r="F48" s="376" t="s">
        <v>187</v>
      </c>
      <c r="G48" s="366" t="s">
        <v>188</v>
      </c>
      <c r="H48" s="159" t="s">
        <v>322</v>
      </c>
      <c r="I48" s="189" t="s">
        <v>323</v>
      </c>
      <c r="J48" s="274" t="s">
        <v>189</v>
      </c>
      <c r="K48" s="87"/>
      <c r="L48" s="31"/>
      <c r="M48" s="206"/>
      <c r="N48" s="206"/>
      <c r="O48" s="206"/>
      <c r="P48" s="209"/>
      <c r="Q48" s="208"/>
    </row>
    <row r="49" spans="1:18" ht="45" customHeight="1">
      <c r="E49" s="28"/>
      <c r="F49" s="377"/>
      <c r="G49" s="362"/>
      <c r="H49" s="159" t="s">
        <v>324</v>
      </c>
      <c r="I49" s="168" t="s">
        <v>325</v>
      </c>
      <c r="J49" s="113">
        <v>20</v>
      </c>
      <c r="K49" s="87"/>
      <c r="L49" s="31" t="str">
        <f>IF(AND(K49&gt;0,K48&lt;&gt;$AD$8),"!","")</f>
        <v/>
      </c>
      <c r="M49" s="206"/>
      <c r="N49" s="206"/>
      <c r="O49" s="206"/>
      <c r="P49" s="209"/>
      <c r="Q49" s="208"/>
    </row>
    <row r="50" spans="1:18" ht="45" customHeight="1">
      <c r="E50" s="28"/>
      <c r="F50" s="365" t="s">
        <v>191</v>
      </c>
      <c r="G50" s="373" t="s">
        <v>119</v>
      </c>
      <c r="H50" s="160" t="s">
        <v>192</v>
      </c>
      <c r="I50" s="169" t="s">
        <v>193</v>
      </c>
      <c r="J50" s="109">
        <f>IF(G50=R62,1,"0")</f>
        <v>1</v>
      </c>
      <c r="K50" s="87"/>
      <c r="L50" s="24"/>
      <c r="M50" s="206"/>
      <c r="N50" s="206"/>
      <c r="O50" s="206"/>
      <c r="P50" s="209"/>
      <c r="Q50" s="208"/>
    </row>
    <row r="51" spans="1:18" ht="45" customHeight="1">
      <c r="E51" s="28"/>
      <c r="F51" s="372"/>
      <c r="G51" s="374"/>
      <c r="H51" s="161" t="s">
        <v>194</v>
      </c>
      <c r="I51" s="170" t="s">
        <v>195</v>
      </c>
      <c r="J51" s="110" t="str">
        <f>IF(G50=R63,2,"0")</f>
        <v>0</v>
      </c>
      <c r="K51" s="94"/>
      <c r="L51" s="67"/>
      <c r="M51" s="206"/>
      <c r="N51" s="206"/>
      <c r="O51" s="206"/>
      <c r="P51" s="209"/>
      <c r="Q51" s="208"/>
    </row>
    <row r="52" spans="1:18" ht="45" customHeight="1">
      <c r="E52" s="44"/>
      <c r="F52" s="44" t="s">
        <v>27</v>
      </c>
      <c r="G52" s="44"/>
      <c r="H52" s="45"/>
      <c r="I52" s="44"/>
      <c r="J52" s="45">
        <f>SUM(J48:J51)</f>
        <v>21</v>
      </c>
      <c r="K52" s="45">
        <f>SUM(K48:K51)</f>
        <v>0</v>
      </c>
      <c r="L52" s="31" t="str">
        <f>IF(K52&gt;J52,"!","")</f>
        <v/>
      </c>
      <c r="M52" s="208"/>
      <c r="N52" s="200"/>
      <c r="O52" s="200"/>
      <c r="P52" s="209"/>
      <c r="Q52" s="208"/>
    </row>
    <row r="53" spans="1:18" ht="45" customHeight="1">
      <c r="L53" s="71"/>
      <c r="M53" s="211"/>
      <c r="N53" s="200"/>
      <c r="O53" s="200"/>
      <c r="P53" s="209"/>
      <c r="Q53" s="208"/>
    </row>
    <row r="54" spans="1:18" ht="45" customHeight="1">
      <c r="E54" s="26"/>
      <c r="F54" s="266" t="s">
        <v>196</v>
      </c>
      <c r="G54" s="72"/>
      <c r="H54" s="73"/>
      <c r="I54" s="72"/>
      <c r="J54" s="54">
        <f>10-SUM(B55:B59)</f>
        <v>10</v>
      </c>
      <c r="K54" s="54"/>
      <c r="L54" s="24"/>
      <c r="M54" s="205"/>
      <c r="N54" s="205"/>
      <c r="O54" s="205"/>
      <c r="P54" s="209"/>
      <c r="Q54" s="208"/>
    </row>
    <row r="55" spans="1:18" ht="45" customHeight="1">
      <c r="E55" s="28"/>
      <c r="F55" s="376" t="s">
        <v>197</v>
      </c>
      <c r="G55" s="417" t="s">
        <v>326</v>
      </c>
      <c r="H55" s="159" t="s">
        <v>201</v>
      </c>
      <c r="I55" s="168" t="s">
        <v>202</v>
      </c>
      <c r="J55" s="113">
        <v>4</v>
      </c>
      <c r="K55" s="87"/>
      <c r="L55" s="67"/>
      <c r="M55" s="206"/>
      <c r="N55" s="206"/>
      <c r="O55" s="206"/>
      <c r="P55" s="209"/>
      <c r="Q55" s="208"/>
    </row>
    <row r="56" spans="1:18" ht="45" customHeight="1">
      <c r="A56" s="152">
        <v>1</v>
      </c>
      <c r="B56" s="152">
        <f>IF((C56=TRUE),1,0)</f>
        <v>0</v>
      </c>
      <c r="C56" s="152" t="b">
        <v>0</v>
      </c>
      <c r="E56" s="28"/>
      <c r="F56" s="376"/>
      <c r="G56" s="376"/>
      <c r="H56" s="159" t="s">
        <v>204</v>
      </c>
      <c r="I56" s="168" t="s">
        <v>205</v>
      </c>
      <c r="J56" s="113">
        <f>IF(C56=TRUE,0,1)</f>
        <v>1</v>
      </c>
      <c r="K56" s="87"/>
      <c r="L56" s="67"/>
      <c r="M56" s="206"/>
      <c r="N56" s="206"/>
      <c r="O56" s="206"/>
      <c r="P56" s="209"/>
      <c r="Q56" s="208"/>
    </row>
    <row r="57" spans="1:18" ht="45" customHeight="1">
      <c r="A57" s="152">
        <v>2</v>
      </c>
      <c r="B57" s="152">
        <f>IF((C57=TRUE),2,0)</f>
        <v>0</v>
      </c>
      <c r="C57" s="152" t="b">
        <v>0</v>
      </c>
      <c r="E57" s="28"/>
      <c r="F57" s="376"/>
      <c r="G57" s="376"/>
      <c r="H57" s="159" t="s">
        <v>206</v>
      </c>
      <c r="I57" s="168" t="s">
        <v>207</v>
      </c>
      <c r="J57" s="113">
        <f>IF(C57=TRUE,0,2)</f>
        <v>2</v>
      </c>
      <c r="K57" s="87"/>
      <c r="L57" s="67"/>
      <c r="M57" s="206"/>
      <c r="N57" s="206"/>
      <c r="O57" s="206"/>
      <c r="P57" s="209"/>
      <c r="Q57" s="208"/>
    </row>
    <row r="58" spans="1:18" ht="45" customHeight="1">
      <c r="E58" s="28"/>
      <c r="F58" s="376"/>
      <c r="G58" s="376"/>
      <c r="H58" s="159" t="s">
        <v>208</v>
      </c>
      <c r="I58" s="168" t="s">
        <v>209</v>
      </c>
      <c r="J58" s="113">
        <v>2</v>
      </c>
      <c r="K58" s="87"/>
      <c r="L58" s="67"/>
      <c r="M58" s="206"/>
      <c r="N58" s="206"/>
      <c r="O58" s="206"/>
      <c r="P58" s="209"/>
      <c r="Q58" s="208"/>
    </row>
    <row r="59" spans="1:18" ht="45" customHeight="1">
      <c r="E59" s="28"/>
      <c r="F59" s="377"/>
      <c r="G59" s="377"/>
      <c r="H59" s="159" t="s">
        <v>210</v>
      </c>
      <c r="I59" s="168" t="s">
        <v>211</v>
      </c>
      <c r="J59" s="113">
        <v>1</v>
      </c>
      <c r="K59" s="87"/>
      <c r="L59" s="67"/>
      <c r="M59" s="206"/>
      <c r="N59" s="206"/>
      <c r="O59" s="206"/>
      <c r="P59" s="209"/>
      <c r="Q59" s="208"/>
    </row>
    <row r="60" spans="1:18" ht="45" customHeight="1">
      <c r="E60" s="44"/>
      <c r="F60" s="44" t="s">
        <v>27</v>
      </c>
      <c r="G60" s="44"/>
      <c r="H60" s="45"/>
      <c r="I60" s="44"/>
      <c r="J60" s="45">
        <f>SUM(J55:J59)</f>
        <v>10</v>
      </c>
      <c r="K60" s="45">
        <f>SUM(K55:K59)</f>
        <v>0</v>
      </c>
      <c r="L60" s="31" t="str">
        <f>IF(K60&gt;J60,"!","")</f>
        <v/>
      </c>
      <c r="M60" s="208"/>
      <c r="N60" s="200"/>
      <c r="O60" s="200"/>
      <c r="P60" s="209"/>
      <c r="Q60" s="208"/>
    </row>
    <row r="61" spans="1:18" ht="45" customHeight="1">
      <c r="L61" s="71"/>
      <c r="M61" s="211"/>
      <c r="P61" s="209"/>
      <c r="Q61" s="208"/>
    </row>
    <row r="62" spans="1:18" ht="45" customHeight="1">
      <c r="E62" s="26"/>
      <c r="F62" s="266" t="s">
        <v>212</v>
      </c>
      <c r="G62" s="72"/>
      <c r="H62" s="73"/>
      <c r="I62" s="72"/>
      <c r="J62" s="54">
        <f>12-SUM(B63:B68)</f>
        <v>12</v>
      </c>
      <c r="K62" s="54"/>
      <c r="L62" s="24"/>
      <c r="M62" s="205"/>
      <c r="N62" s="205"/>
      <c r="O62" s="205"/>
      <c r="P62" s="209"/>
      <c r="Q62" s="208"/>
      <c r="R62" s="33" t="s">
        <v>119</v>
      </c>
    </row>
    <row r="63" spans="1:18" ht="45" customHeight="1">
      <c r="E63" s="28"/>
      <c r="F63" s="383" t="s">
        <v>213</v>
      </c>
      <c r="G63" s="426" t="s">
        <v>119</v>
      </c>
      <c r="H63" s="159" t="s">
        <v>327</v>
      </c>
      <c r="I63" s="168" t="s">
        <v>215</v>
      </c>
      <c r="J63" s="113">
        <f>IF(G63=R67,12,0)</f>
        <v>0</v>
      </c>
      <c r="K63" s="87"/>
      <c r="L63" s="67"/>
      <c r="M63" s="206"/>
      <c r="N63" s="206"/>
      <c r="O63" s="206"/>
      <c r="P63" s="209"/>
      <c r="Q63" s="208"/>
      <c r="R63" s="11" t="s">
        <v>116</v>
      </c>
    </row>
    <row r="64" spans="1:18" ht="45" customHeight="1">
      <c r="E64" s="28"/>
      <c r="F64" s="365"/>
      <c r="G64" s="427"/>
      <c r="H64" s="159" t="s">
        <v>216</v>
      </c>
      <c r="I64" s="168" t="s">
        <v>217</v>
      </c>
      <c r="J64" s="113">
        <f>IF($G$63=$R$68,1,0)</f>
        <v>1</v>
      </c>
      <c r="K64" s="87"/>
      <c r="L64" s="67"/>
      <c r="M64" s="206"/>
      <c r="N64" s="206"/>
      <c r="O64" s="206"/>
      <c r="P64" s="200"/>
      <c r="Q64" s="200"/>
    </row>
    <row r="65" spans="1:18" ht="45" customHeight="1">
      <c r="E65" s="28"/>
      <c r="F65" s="365"/>
      <c r="G65" s="427"/>
      <c r="H65" s="159" t="s">
        <v>218</v>
      </c>
      <c r="I65" s="168" t="s">
        <v>219</v>
      </c>
      <c r="J65" s="113">
        <f>IF($G$63=$R$68,1,0)</f>
        <v>1</v>
      </c>
      <c r="K65" s="87"/>
      <c r="L65" s="67"/>
      <c r="M65" s="206"/>
      <c r="N65" s="206"/>
      <c r="O65" s="206"/>
      <c r="P65" s="200"/>
      <c r="Q65" s="200"/>
    </row>
    <row r="66" spans="1:18" ht="45" customHeight="1">
      <c r="E66" s="28"/>
      <c r="F66" s="365"/>
      <c r="G66" s="427"/>
      <c r="H66" s="159" t="s">
        <v>220</v>
      </c>
      <c r="I66" s="168" t="s">
        <v>221</v>
      </c>
      <c r="J66" s="113">
        <f>IF($G$63=$R$68,2,0)</f>
        <v>2</v>
      </c>
      <c r="K66" s="87"/>
      <c r="L66" s="67"/>
      <c r="M66" s="206"/>
      <c r="N66" s="206"/>
      <c r="O66" s="206"/>
      <c r="P66" s="270"/>
    </row>
    <row r="67" spans="1:18" ht="45" customHeight="1">
      <c r="A67" s="152">
        <v>1</v>
      </c>
      <c r="B67" s="152">
        <f>IF(AND($G$63=$R$68,C67=TRUE),1,0)</f>
        <v>0</v>
      </c>
      <c r="C67" s="152" t="b">
        <v>0</v>
      </c>
      <c r="E67" s="28"/>
      <c r="F67" s="365"/>
      <c r="G67" s="427"/>
      <c r="H67" s="159" t="s">
        <v>222</v>
      </c>
      <c r="I67" s="168" t="s">
        <v>223</v>
      </c>
      <c r="J67" s="113">
        <f>IF(OR($G$63=$R$67,C67=TRUE),0,1)</f>
        <v>1</v>
      </c>
      <c r="K67" s="87"/>
      <c r="L67" s="67"/>
      <c r="M67" s="206"/>
      <c r="N67" s="206"/>
      <c r="O67" s="206"/>
      <c r="P67" s="209"/>
      <c r="Q67" s="208"/>
      <c r="R67" s="33" t="s">
        <v>116</v>
      </c>
    </row>
    <row r="68" spans="1:18" ht="45" customHeight="1">
      <c r="A68" s="152">
        <v>1</v>
      </c>
      <c r="B68" s="152">
        <f>IF(AND($G$63=$R$68,C68=TRUE),1,0)</f>
        <v>0</v>
      </c>
      <c r="C68" s="152" t="b">
        <v>0</v>
      </c>
      <c r="E68" s="28"/>
      <c r="F68" s="372"/>
      <c r="G68" s="428"/>
      <c r="H68" s="159" t="s">
        <v>224</v>
      </c>
      <c r="I68" s="168" t="s">
        <v>225</v>
      </c>
      <c r="J68" s="113">
        <f>IF(OR($G$63=$R$67,C68=TRUE),0,1)</f>
        <v>1</v>
      </c>
      <c r="K68" s="87"/>
      <c r="L68" s="67"/>
      <c r="M68" s="206"/>
      <c r="N68" s="206"/>
      <c r="O68" s="206"/>
      <c r="P68" s="209"/>
      <c r="Q68" s="208"/>
      <c r="R68" s="33" t="s">
        <v>119</v>
      </c>
    </row>
    <row r="69" spans="1:18" ht="45" customHeight="1">
      <c r="E69" s="44"/>
      <c r="F69" s="44" t="s">
        <v>27</v>
      </c>
      <c r="G69" s="44"/>
      <c r="H69" s="45"/>
      <c r="I69" s="44"/>
      <c r="J69" s="45">
        <f>SUM(J63:J68)</f>
        <v>6</v>
      </c>
      <c r="K69" s="45">
        <f>SUM(K63:K68)</f>
        <v>0</v>
      </c>
      <c r="L69" s="31" t="str">
        <f>IF(K69&gt;J69,"!","")</f>
        <v/>
      </c>
      <c r="M69" s="208"/>
      <c r="N69" s="200"/>
      <c r="O69" s="200"/>
      <c r="P69" s="209"/>
      <c r="Q69" s="208"/>
    </row>
    <row r="70" spans="1:18" ht="45" customHeight="1">
      <c r="L70" s="71"/>
      <c r="M70" s="211"/>
      <c r="P70" s="209"/>
      <c r="Q70" s="208"/>
    </row>
    <row r="71" spans="1:18" ht="45" customHeight="1">
      <c r="E71" s="26"/>
      <c r="F71" s="266" t="s">
        <v>226</v>
      </c>
      <c r="G71" s="72"/>
      <c r="H71" s="54"/>
      <c r="I71" s="72"/>
      <c r="J71" s="54">
        <f>14-SUM(B72:B83)</f>
        <v>14</v>
      </c>
      <c r="K71" s="54"/>
      <c r="L71" s="24"/>
      <c r="M71" s="205"/>
      <c r="N71" s="205"/>
      <c r="O71" s="205"/>
      <c r="P71" s="209"/>
      <c r="Q71" s="208"/>
    </row>
    <row r="72" spans="1:18" ht="45" customHeight="1">
      <c r="E72" s="28"/>
      <c r="F72" s="367" t="s">
        <v>328</v>
      </c>
      <c r="G72" s="427" t="s">
        <v>329</v>
      </c>
      <c r="H72" s="115" t="s">
        <v>330</v>
      </c>
      <c r="I72" s="190" t="s">
        <v>331</v>
      </c>
      <c r="J72" s="86">
        <f>IF($G$72=$R$85,6,0)</f>
        <v>0</v>
      </c>
      <c r="K72" s="69"/>
      <c r="L72" s="67" t="str">
        <f>IF(SUM(K72:K73)&gt;7,"!", "")</f>
        <v/>
      </c>
      <c r="M72" s="206"/>
      <c r="N72" s="206"/>
      <c r="O72" s="206"/>
      <c r="P72" s="209"/>
      <c r="Q72" s="208"/>
    </row>
    <row r="73" spans="1:18" ht="45" customHeight="1">
      <c r="E73" s="28"/>
      <c r="F73" s="429"/>
      <c r="G73" s="427"/>
      <c r="H73" s="115" t="s">
        <v>332</v>
      </c>
      <c r="I73" s="190" t="s">
        <v>333</v>
      </c>
      <c r="J73" s="86">
        <f>IF($G$72=$R$85,4,0)</f>
        <v>0</v>
      </c>
      <c r="K73" s="69"/>
      <c r="L73" s="67" t="str">
        <f>IF(SUM(K72:K73)&gt;7,"!", "")</f>
        <v/>
      </c>
      <c r="M73" s="206"/>
      <c r="N73" s="206"/>
      <c r="O73" s="206"/>
      <c r="P73" s="200"/>
      <c r="Q73" s="200"/>
    </row>
    <row r="74" spans="1:18" ht="45" customHeight="1">
      <c r="E74" s="28"/>
      <c r="F74" s="429"/>
      <c r="G74" s="427"/>
      <c r="H74" s="115" t="s">
        <v>334</v>
      </c>
      <c r="I74" s="130" t="s">
        <v>335</v>
      </c>
      <c r="J74" s="86">
        <f>IF($G$72=$R$86,3,0)</f>
        <v>3</v>
      </c>
      <c r="K74" s="69"/>
      <c r="L74" s="416" t="str">
        <f>IF(SUM(K74:K77)&gt;5,"Error: the total number of points available for the 'Material Use' Pathway is 5. Please enter a points score less than or equal to 5.","")</f>
        <v/>
      </c>
      <c r="M74" s="206"/>
      <c r="N74" s="206"/>
      <c r="O74" s="206"/>
      <c r="Q74" s="212"/>
    </row>
    <row r="75" spans="1:18" ht="45" customHeight="1">
      <c r="E75" s="28"/>
      <c r="F75" s="429"/>
      <c r="G75" s="427"/>
      <c r="H75" s="115" t="s">
        <v>336</v>
      </c>
      <c r="I75" s="130" t="s">
        <v>337</v>
      </c>
      <c r="J75" s="86">
        <f>IF($G$72=$R$86,1,0)</f>
        <v>1</v>
      </c>
      <c r="K75" s="69"/>
      <c r="L75" s="416"/>
      <c r="M75" s="206"/>
      <c r="N75" s="206"/>
      <c r="O75" s="206"/>
      <c r="P75" s="270"/>
    </row>
    <row r="76" spans="1:18" ht="45" customHeight="1">
      <c r="E76" s="28"/>
      <c r="F76" s="429"/>
      <c r="G76" s="427"/>
      <c r="H76" s="115" t="s">
        <v>338</v>
      </c>
      <c r="I76" s="131" t="s">
        <v>339</v>
      </c>
      <c r="J76" s="86">
        <f>IF($G$72=$R$86,4,0)</f>
        <v>4</v>
      </c>
      <c r="K76" s="69"/>
      <c r="L76" s="416"/>
      <c r="M76" s="206"/>
      <c r="N76" s="206"/>
      <c r="O76" s="206"/>
      <c r="P76" s="209"/>
      <c r="Q76" s="208"/>
      <c r="R76" s="33" t="s">
        <v>116</v>
      </c>
    </row>
    <row r="77" spans="1:18" ht="45" customHeight="1">
      <c r="A77" s="152">
        <v>4</v>
      </c>
      <c r="B77" s="152">
        <f t="shared" ref="B77:B80" si="3">IF(C77=TRUE,A77,0)</f>
        <v>0</v>
      </c>
      <c r="E77" s="28"/>
      <c r="F77" s="368"/>
      <c r="G77" s="427"/>
      <c r="H77" s="115" t="s">
        <v>338</v>
      </c>
      <c r="I77" s="190" t="s">
        <v>340</v>
      </c>
      <c r="J77" s="86">
        <f>IF($G$72=$R$86,3,0)</f>
        <v>3</v>
      </c>
      <c r="K77" s="69"/>
      <c r="L77" s="416"/>
      <c r="M77" s="206"/>
      <c r="N77" s="206"/>
      <c r="O77" s="206"/>
      <c r="P77" s="209"/>
      <c r="Q77" s="208"/>
      <c r="R77" s="33" t="s">
        <v>119</v>
      </c>
    </row>
    <row r="78" spans="1:18" ht="45" customHeight="1">
      <c r="A78" s="152">
        <v>1</v>
      </c>
      <c r="B78" s="152">
        <f t="shared" si="3"/>
        <v>0</v>
      </c>
      <c r="C78" s="152" t="b">
        <v>0</v>
      </c>
      <c r="E78" s="28"/>
      <c r="F78" s="356" t="s">
        <v>236</v>
      </c>
      <c r="G78" s="362" t="s">
        <v>237</v>
      </c>
      <c r="H78" s="129">
        <v>20.100000000000001</v>
      </c>
      <c r="I78" s="128" t="s">
        <v>238</v>
      </c>
      <c r="J78" s="86">
        <f>IF(C78=TRUE,0,1)</f>
        <v>1</v>
      </c>
      <c r="K78" s="59"/>
      <c r="L78" s="67"/>
      <c r="M78" s="206"/>
      <c r="N78" s="206"/>
      <c r="O78" s="206"/>
      <c r="P78" s="209"/>
      <c r="Q78" s="208"/>
    </row>
    <row r="79" spans="1:18" ht="45" customHeight="1">
      <c r="A79" s="152">
        <v>1</v>
      </c>
      <c r="B79" s="152">
        <f t="shared" si="3"/>
        <v>0</v>
      </c>
      <c r="C79" s="152" t="b">
        <v>0</v>
      </c>
      <c r="E79" s="28"/>
      <c r="F79" s="357"/>
      <c r="G79" s="388"/>
      <c r="H79" s="129">
        <v>20.2</v>
      </c>
      <c r="I79" s="128" t="s">
        <v>239</v>
      </c>
      <c r="J79" s="86">
        <f t="shared" ref="J79:J80" si="4">IF(C79=TRUE,0,1)</f>
        <v>1</v>
      </c>
      <c r="K79" s="59"/>
      <c r="L79" s="31"/>
      <c r="M79" s="206"/>
      <c r="N79" s="206"/>
      <c r="O79" s="206"/>
      <c r="P79" s="209"/>
      <c r="Q79" s="208"/>
    </row>
    <row r="80" spans="1:18" ht="45" customHeight="1">
      <c r="A80" s="152">
        <v>1</v>
      </c>
      <c r="B80" s="152">
        <f t="shared" si="3"/>
        <v>0</v>
      </c>
      <c r="C80" s="152" t="b">
        <v>0</v>
      </c>
      <c r="E80" s="28"/>
      <c r="F80" s="358"/>
      <c r="G80" s="389"/>
      <c r="H80" s="129">
        <v>20.3</v>
      </c>
      <c r="I80" s="128" t="s">
        <v>240</v>
      </c>
      <c r="J80" s="86">
        <f t="shared" si="4"/>
        <v>1</v>
      </c>
      <c r="K80" s="59"/>
      <c r="L80" s="31"/>
      <c r="M80" s="206"/>
      <c r="N80" s="206"/>
      <c r="O80" s="206"/>
      <c r="P80" s="209"/>
      <c r="Q80" s="208"/>
    </row>
    <row r="81" spans="1:18" ht="45" customHeight="1">
      <c r="E81" s="28"/>
      <c r="F81" s="184" t="s">
        <v>241</v>
      </c>
      <c r="G81" s="268" t="s">
        <v>242</v>
      </c>
      <c r="H81" s="275">
        <v>21</v>
      </c>
      <c r="I81" s="128" t="s">
        <v>243</v>
      </c>
      <c r="J81" s="86">
        <v>3</v>
      </c>
      <c r="K81" s="59"/>
      <c r="L81" s="24"/>
      <c r="M81" s="206"/>
      <c r="N81" s="206"/>
      <c r="O81" s="206"/>
      <c r="P81" s="209"/>
      <c r="Q81" s="208"/>
    </row>
    <row r="82" spans="1:18" ht="45" customHeight="1">
      <c r="E82" s="28"/>
      <c r="F82" s="356" t="s">
        <v>244</v>
      </c>
      <c r="G82" s="369" t="s">
        <v>248</v>
      </c>
      <c r="H82" s="196" t="s">
        <v>341</v>
      </c>
      <c r="I82" s="128" t="s">
        <v>248</v>
      </c>
      <c r="J82" s="86">
        <f>IF(G82=R94,1,"0")</f>
        <v>1</v>
      </c>
      <c r="K82" s="59"/>
      <c r="L82" s="24"/>
      <c r="M82" s="206"/>
      <c r="N82" s="206"/>
      <c r="O82" s="206"/>
      <c r="P82" s="200"/>
      <c r="Q82" s="200"/>
    </row>
    <row r="83" spans="1:18" ht="45" customHeight="1">
      <c r="E83" s="28"/>
      <c r="F83" s="358"/>
      <c r="G83" s="370"/>
      <c r="H83" s="196" t="s">
        <v>342</v>
      </c>
      <c r="I83" s="268" t="s">
        <v>246</v>
      </c>
      <c r="J83" s="86" t="str">
        <f>IF(G82=R95,1,"0")</f>
        <v>0</v>
      </c>
      <c r="K83" s="59"/>
      <c r="L83" s="31"/>
      <c r="M83" s="206"/>
      <c r="N83" s="206"/>
      <c r="O83" s="206"/>
      <c r="Q83" s="212"/>
    </row>
    <row r="84" spans="1:18" ht="45" customHeight="1">
      <c r="E84" s="44"/>
      <c r="F84" s="44" t="s">
        <v>27</v>
      </c>
      <c r="G84" s="44"/>
      <c r="H84" s="45"/>
      <c r="I84" s="44"/>
      <c r="J84" s="45">
        <f>IF(G72=R86,12,14)</f>
        <v>12</v>
      </c>
      <c r="K84" s="45">
        <f>SUM(K72:K83)</f>
        <v>0</v>
      </c>
      <c r="L84" s="31" t="str">
        <f>IF(K84&gt;J84,"!","")</f>
        <v/>
      </c>
      <c r="M84" s="208"/>
      <c r="N84" s="200"/>
      <c r="O84" s="200"/>
      <c r="P84" s="270"/>
      <c r="R84" s="9"/>
    </row>
    <row r="85" spans="1:18" ht="45" customHeight="1">
      <c r="L85" s="71"/>
      <c r="M85" s="211"/>
      <c r="P85" s="209"/>
      <c r="Q85" s="208"/>
      <c r="R85" s="33" t="s">
        <v>343</v>
      </c>
    </row>
    <row r="86" spans="1:18" ht="45" customHeight="1">
      <c r="E86" s="26"/>
      <c r="F86" s="375" t="s">
        <v>250</v>
      </c>
      <c r="G86" s="375"/>
      <c r="H86" s="375"/>
      <c r="I86" s="375"/>
      <c r="J86" s="54">
        <f>5-SUM(B87:B91)</f>
        <v>5</v>
      </c>
      <c r="K86" s="54"/>
      <c r="L86" s="24"/>
      <c r="M86" s="205"/>
      <c r="N86" s="205"/>
      <c r="O86" s="205"/>
      <c r="P86" s="209"/>
      <c r="Q86" s="208"/>
      <c r="R86" s="11" t="s">
        <v>329</v>
      </c>
    </row>
    <row r="87" spans="1:18" ht="45" customHeight="1">
      <c r="E87" s="28"/>
      <c r="F87" s="358" t="s">
        <v>251</v>
      </c>
      <c r="G87" s="363" t="s">
        <v>252</v>
      </c>
      <c r="H87" s="88">
        <v>23</v>
      </c>
      <c r="I87" s="89" t="s">
        <v>344</v>
      </c>
      <c r="J87" s="271" t="s">
        <v>144</v>
      </c>
      <c r="K87" s="90"/>
      <c r="L87" s="67"/>
      <c r="M87" s="206"/>
      <c r="N87" s="206"/>
      <c r="O87" s="206"/>
      <c r="P87" s="209"/>
      <c r="Q87" s="208"/>
    </row>
    <row r="88" spans="1:18" ht="45" customHeight="1">
      <c r="E88" s="28"/>
      <c r="F88" s="391"/>
      <c r="G88" s="364"/>
      <c r="H88" s="37">
        <v>23.1</v>
      </c>
      <c r="I88" s="57" t="s">
        <v>251</v>
      </c>
      <c r="J88" s="29">
        <v>3</v>
      </c>
      <c r="K88" s="69"/>
      <c r="L88" s="31" t="str">
        <f>IF(AND(K88&gt;0,$K87&lt;&gt;$AD$8),"!","")</f>
        <v/>
      </c>
      <c r="M88" s="206"/>
      <c r="N88" s="206"/>
      <c r="O88" s="206"/>
      <c r="P88" s="209"/>
      <c r="Q88" s="208"/>
    </row>
    <row r="89" spans="1:18" ht="45" customHeight="1">
      <c r="E89" s="28"/>
      <c r="F89" s="391" t="s">
        <v>253</v>
      </c>
      <c r="G89" s="362" t="s">
        <v>254</v>
      </c>
      <c r="H89" s="37">
        <v>24</v>
      </c>
      <c r="I89" s="91" t="s">
        <v>189</v>
      </c>
      <c r="J89" s="196" t="s">
        <v>189</v>
      </c>
      <c r="K89" s="69"/>
      <c r="L89" s="67"/>
      <c r="M89" s="206"/>
      <c r="N89" s="206"/>
      <c r="O89" s="206"/>
      <c r="P89" s="209"/>
      <c r="Q89" s="208"/>
    </row>
    <row r="90" spans="1:18" ht="45" customHeight="1">
      <c r="E90" s="28"/>
      <c r="F90" s="391"/>
      <c r="G90" s="363"/>
      <c r="H90" s="37">
        <v>24.1</v>
      </c>
      <c r="I90" s="91" t="s">
        <v>256</v>
      </c>
      <c r="J90" s="29">
        <v>1</v>
      </c>
      <c r="K90" s="69"/>
      <c r="L90" s="31" t="str">
        <f>IF(AND(K90&gt;0,$K$89&lt;&gt;$AD$8),"!","")</f>
        <v/>
      </c>
      <c r="M90" s="206"/>
      <c r="N90" s="206"/>
      <c r="O90" s="206"/>
      <c r="P90" s="209"/>
      <c r="Q90" s="208"/>
    </row>
    <row r="91" spans="1:18" ht="45" customHeight="1">
      <c r="A91" s="152">
        <v>1</v>
      </c>
      <c r="B91" s="152">
        <f t="shared" ref="B91" si="5">IF(C91=TRUE,A91,0)</f>
        <v>0</v>
      </c>
      <c r="C91" s="152" t="b">
        <v>0</v>
      </c>
      <c r="E91" s="28"/>
      <c r="F91" s="391"/>
      <c r="G91" s="364"/>
      <c r="H91" s="37">
        <v>24.2</v>
      </c>
      <c r="I91" s="91" t="s">
        <v>257</v>
      </c>
      <c r="J91" s="29">
        <f>IF(C91=FALSE,1,0)</f>
        <v>1</v>
      </c>
      <c r="K91" s="69"/>
      <c r="L91" s="31" t="str">
        <f>IF(AND(K91&gt;0,$K$89&lt;&gt;$AD$8),"!","")</f>
        <v/>
      </c>
      <c r="M91" s="206"/>
      <c r="N91" s="206"/>
      <c r="O91" s="206"/>
      <c r="P91" s="209"/>
      <c r="Q91" s="208"/>
    </row>
    <row r="92" spans="1:18" ht="45" customHeight="1">
      <c r="E92" s="44"/>
      <c r="F92" s="44" t="s">
        <v>27</v>
      </c>
      <c r="G92" s="44"/>
      <c r="H92" s="45"/>
      <c r="I92" s="44"/>
      <c r="J92" s="45">
        <f>SUM(J87:J91)</f>
        <v>5</v>
      </c>
      <c r="K92" s="45">
        <f>SUM(K87:K91)</f>
        <v>0</v>
      </c>
      <c r="L92" s="31" t="str">
        <f>IF(K92&gt;J92,"!","")</f>
        <v/>
      </c>
      <c r="P92" s="209"/>
      <c r="Q92" s="208"/>
    </row>
    <row r="93" spans="1:18" ht="45" customHeight="1">
      <c r="L93" s="71"/>
      <c r="P93" s="209"/>
      <c r="Q93" s="208"/>
    </row>
    <row r="94" spans="1:18" ht="45" customHeight="1">
      <c r="E94" s="26"/>
      <c r="F94" s="375" t="s">
        <v>258</v>
      </c>
      <c r="G94" s="375"/>
      <c r="H94" s="375"/>
      <c r="I94" s="375"/>
      <c r="J94" s="54">
        <f>5-SUM(B95:B100)</f>
        <v>5</v>
      </c>
      <c r="K94" s="54"/>
      <c r="L94" s="24"/>
      <c r="M94" s="205"/>
      <c r="N94" s="205"/>
      <c r="O94" s="205"/>
      <c r="P94" s="209"/>
      <c r="Q94" s="208"/>
      <c r="R94" s="11" t="s">
        <v>248</v>
      </c>
    </row>
    <row r="95" spans="1:18" ht="45" customHeight="1">
      <c r="E95" s="28"/>
      <c r="F95" s="358" t="s">
        <v>259</v>
      </c>
      <c r="G95" s="363" t="s">
        <v>260</v>
      </c>
      <c r="H95" s="88">
        <v>26.1</v>
      </c>
      <c r="I95" s="57" t="s">
        <v>261</v>
      </c>
      <c r="J95" s="35">
        <v>1</v>
      </c>
      <c r="K95" s="90"/>
      <c r="L95" s="67"/>
      <c r="M95" s="206"/>
      <c r="N95" s="206"/>
      <c r="O95" s="206"/>
      <c r="P95" s="209"/>
      <c r="Q95" s="208"/>
      <c r="R95" s="11" t="s">
        <v>246</v>
      </c>
    </row>
    <row r="96" spans="1:18" ht="45" customHeight="1">
      <c r="E96" s="28"/>
      <c r="F96" s="391"/>
      <c r="G96" s="364"/>
      <c r="H96" s="37">
        <v>26.2</v>
      </c>
      <c r="I96" s="57" t="s">
        <v>262</v>
      </c>
      <c r="J96" s="29">
        <v>1</v>
      </c>
      <c r="K96" s="69"/>
      <c r="L96" s="67"/>
      <c r="M96" s="206"/>
      <c r="N96" s="206"/>
      <c r="O96" s="206"/>
      <c r="P96" s="200"/>
      <c r="Q96" s="200"/>
    </row>
    <row r="97" spans="2:17" ht="45" customHeight="1">
      <c r="E97" s="28"/>
      <c r="F97" s="391" t="s">
        <v>263</v>
      </c>
      <c r="G97" s="362" t="s">
        <v>264</v>
      </c>
      <c r="H97" s="37">
        <v>27</v>
      </c>
      <c r="I97" s="91" t="s">
        <v>265</v>
      </c>
      <c r="J97" s="196" t="s">
        <v>144</v>
      </c>
      <c r="K97" s="69"/>
      <c r="L97" s="67"/>
      <c r="M97" s="206"/>
      <c r="N97" s="206"/>
      <c r="O97" s="206"/>
      <c r="Q97" s="212"/>
    </row>
    <row r="98" spans="2:17" ht="45" customHeight="1">
      <c r="E98" s="28"/>
      <c r="F98" s="391"/>
      <c r="G98" s="364"/>
      <c r="H98" s="39">
        <v>27.1</v>
      </c>
      <c r="I98" s="91" t="s">
        <v>266</v>
      </c>
      <c r="J98" s="29">
        <v>1</v>
      </c>
      <c r="K98" s="69"/>
      <c r="L98" s="31" t="str">
        <f>IF(AND(K98&gt;0,$K97&lt;&gt;$AD$8),"!","")</f>
        <v/>
      </c>
      <c r="M98" s="206"/>
      <c r="N98" s="206"/>
      <c r="O98" s="206"/>
      <c r="P98" s="270"/>
    </row>
    <row r="99" spans="2:17" ht="45" customHeight="1">
      <c r="E99" s="28"/>
      <c r="F99" s="184" t="s">
        <v>267</v>
      </c>
      <c r="G99" s="268" t="s">
        <v>268</v>
      </c>
      <c r="H99" s="37">
        <v>28</v>
      </c>
      <c r="I99" s="60" t="s">
        <v>269</v>
      </c>
      <c r="J99" s="29">
        <v>1</v>
      </c>
      <c r="K99" s="69"/>
      <c r="L99" s="67"/>
      <c r="M99" s="206"/>
      <c r="N99" s="206"/>
      <c r="O99" s="206"/>
      <c r="P99" s="209"/>
      <c r="Q99" s="208"/>
    </row>
    <row r="100" spans="2:17" ht="45" customHeight="1">
      <c r="E100" s="28"/>
      <c r="F100" s="95" t="s">
        <v>270</v>
      </c>
      <c r="G100" s="269" t="s">
        <v>271</v>
      </c>
      <c r="H100" s="92">
        <v>29</v>
      </c>
      <c r="I100" s="60" t="s">
        <v>272</v>
      </c>
      <c r="J100" s="61">
        <v>1</v>
      </c>
      <c r="K100" s="94"/>
      <c r="L100" s="67"/>
      <c r="M100" s="206"/>
      <c r="N100" s="206"/>
      <c r="O100" s="206"/>
      <c r="P100" s="209"/>
      <c r="Q100" s="208"/>
    </row>
    <row r="101" spans="2:17" ht="45" customHeight="1">
      <c r="E101" s="44"/>
      <c r="F101" s="44" t="s">
        <v>27</v>
      </c>
      <c r="G101" s="44"/>
      <c r="H101" s="45"/>
      <c r="I101" s="44"/>
      <c r="J101" s="45">
        <f>SUM(J95:J100)</f>
        <v>5</v>
      </c>
      <c r="K101" s="45">
        <f>SUM(K95:K100)</f>
        <v>0</v>
      </c>
      <c r="L101" s="31" t="str">
        <f>IF(K101&gt;J101,"!","")</f>
        <v/>
      </c>
      <c r="M101" s="214"/>
      <c r="N101" s="200"/>
      <c r="O101" s="200"/>
      <c r="P101" s="209"/>
      <c r="Q101" s="208"/>
    </row>
    <row r="102" spans="2:17" ht="45" customHeight="1">
      <c r="F102" s="62"/>
      <c r="G102" s="62"/>
      <c r="H102" s="6"/>
      <c r="I102" s="62"/>
      <c r="J102" s="6"/>
      <c r="K102" s="6"/>
      <c r="L102" s="24"/>
      <c r="M102" s="215"/>
      <c r="N102" s="200"/>
      <c r="O102" s="200"/>
      <c r="P102" s="209"/>
      <c r="Q102" s="208"/>
    </row>
    <row r="103" spans="2:17" ht="45" customHeight="1">
      <c r="E103" s="26"/>
      <c r="F103" s="375" t="s">
        <v>273</v>
      </c>
      <c r="G103" s="375"/>
      <c r="H103" s="375"/>
      <c r="I103" s="375"/>
      <c r="J103" s="54">
        <v>10</v>
      </c>
      <c r="K103" s="96"/>
      <c r="L103" s="24"/>
      <c r="M103" s="205"/>
      <c r="N103" s="205"/>
      <c r="O103" s="205"/>
      <c r="P103" s="270"/>
    </row>
    <row r="104" spans="2:17" ht="45" customHeight="1">
      <c r="E104" s="28"/>
      <c r="F104" s="185" t="s">
        <v>274</v>
      </c>
      <c r="G104" s="98" t="s">
        <v>345</v>
      </c>
      <c r="H104" s="35" t="s">
        <v>346</v>
      </c>
      <c r="I104" s="188" t="s">
        <v>274</v>
      </c>
      <c r="J104" s="390">
        <v>10</v>
      </c>
      <c r="K104" s="90"/>
      <c r="L104" s="67"/>
      <c r="M104" s="206"/>
      <c r="N104" s="206"/>
      <c r="O104" s="206"/>
      <c r="P104" s="209"/>
      <c r="Q104" s="208"/>
    </row>
    <row r="105" spans="2:17" ht="45" customHeight="1">
      <c r="E105" s="28"/>
      <c r="F105" s="184" t="s">
        <v>276</v>
      </c>
      <c r="G105" s="43" t="s">
        <v>347</v>
      </c>
      <c r="H105" s="29" t="s">
        <v>348</v>
      </c>
      <c r="I105" s="38" t="s">
        <v>276</v>
      </c>
      <c r="J105" s="390"/>
      <c r="K105" s="90"/>
      <c r="L105" s="67"/>
      <c r="M105" s="206"/>
      <c r="N105" s="206"/>
      <c r="O105" s="206"/>
      <c r="P105" s="209"/>
      <c r="Q105" s="208"/>
    </row>
    <row r="106" spans="2:17" ht="45" customHeight="1">
      <c r="E106" s="28"/>
      <c r="F106" s="184" t="s">
        <v>278</v>
      </c>
      <c r="G106" s="43" t="s">
        <v>349</v>
      </c>
      <c r="H106" s="29" t="s">
        <v>350</v>
      </c>
      <c r="I106" s="38" t="s">
        <v>278</v>
      </c>
      <c r="J106" s="390"/>
      <c r="K106" s="90"/>
      <c r="L106" s="67"/>
      <c r="M106" s="206"/>
      <c r="N106" s="206"/>
      <c r="O106" s="206"/>
      <c r="P106" s="209"/>
      <c r="Q106" s="208"/>
    </row>
    <row r="107" spans="2:17" ht="45" customHeight="1">
      <c r="E107" s="28"/>
      <c r="F107" s="184" t="s">
        <v>280</v>
      </c>
      <c r="G107" s="43" t="s">
        <v>351</v>
      </c>
      <c r="H107" s="29" t="s">
        <v>352</v>
      </c>
      <c r="I107" s="38" t="s">
        <v>280</v>
      </c>
      <c r="J107" s="390"/>
      <c r="K107" s="90"/>
      <c r="L107" s="67"/>
      <c r="M107" s="206"/>
      <c r="N107" s="206"/>
      <c r="O107" s="206"/>
      <c r="P107" s="209"/>
      <c r="Q107" s="208"/>
    </row>
    <row r="108" spans="2:17" ht="45" customHeight="1">
      <c r="E108" s="28"/>
      <c r="F108" s="186" t="s">
        <v>282</v>
      </c>
      <c r="G108" s="99" t="s">
        <v>353</v>
      </c>
      <c r="H108" s="61" t="s">
        <v>354</v>
      </c>
      <c r="I108" s="187" t="s">
        <v>282</v>
      </c>
      <c r="J108" s="390"/>
      <c r="K108" s="90"/>
      <c r="L108" s="67"/>
      <c r="M108" s="206"/>
      <c r="N108" s="206"/>
      <c r="O108" s="206"/>
      <c r="P108" s="209"/>
      <c r="Q108" s="208"/>
    </row>
    <row r="109" spans="2:17" ht="45" customHeight="1">
      <c r="E109" s="44"/>
      <c r="F109" s="44" t="s">
        <v>27</v>
      </c>
      <c r="G109" s="44"/>
      <c r="H109" s="45"/>
      <c r="I109" s="44"/>
      <c r="J109" s="45">
        <f>SUM(J104)</f>
        <v>10</v>
      </c>
      <c r="K109" s="45">
        <f>IF(SUM(K104:K108)&gt;10,10,SUM(K104:K108))</f>
        <v>0</v>
      </c>
      <c r="L109" s="31" t="str">
        <f>IF(K109&gt;J109,"!","")</f>
        <v/>
      </c>
    </row>
    <row r="110" spans="2:17" ht="45" customHeight="1">
      <c r="F110" s="62"/>
      <c r="G110" s="62"/>
      <c r="H110" s="6"/>
      <c r="I110" s="62"/>
      <c r="J110" s="6"/>
      <c r="K110" s="6"/>
      <c r="L110" s="9"/>
    </row>
    <row r="111" spans="2:17" ht="45" customHeight="1">
      <c r="B111" s="155" t="s">
        <v>284</v>
      </c>
      <c r="F111" s="120"/>
      <c r="G111" s="120"/>
      <c r="H111" s="47"/>
      <c r="I111" s="117" t="s">
        <v>285</v>
      </c>
      <c r="J111" s="14" t="s">
        <v>286</v>
      </c>
      <c r="K111" s="14" t="s">
        <v>287</v>
      </c>
      <c r="L111" s="132"/>
      <c r="M111" s="205"/>
      <c r="N111" s="205"/>
      <c r="O111" s="205"/>
      <c r="P111" s="213"/>
    </row>
    <row r="112" spans="2:17" ht="45" customHeight="1">
      <c r="B112" s="152">
        <f>SUM(B7:B102)</f>
        <v>0</v>
      </c>
      <c r="F112" s="22"/>
      <c r="G112" s="22"/>
      <c r="H112" s="6"/>
      <c r="I112" s="23" t="s">
        <v>290</v>
      </c>
      <c r="J112" s="123">
        <f>100-B112</f>
        <v>100</v>
      </c>
      <c r="K112" s="124">
        <f>K25+K45+K52+K60+K69+K84+K92+K101</f>
        <v>0</v>
      </c>
      <c r="M112" s="206"/>
      <c r="N112" s="206"/>
      <c r="O112" s="206"/>
      <c r="P112" s="200"/>
    </row>
    <row r="113" spans="6:16" ht="45" customHeight="1">
      <c r="F113" s="22"/>
      <c r="G113" s="22"/>
      <c r="H113" s="133"/>
      <c r="I113" s="23" t="s">
        <v>291</v>
      </c>
      <c r="J113" s="121"/>
      <c r="K113" s="136">
        <f>K112/J112*100</f>
        <v>0</v>
      </c>
      <c r="L113" s="118"/>
      <c r="M113" s="206"/>
      <c r="N113" s="206"/>
      <c r="O113" s="206"/>
      <c r="P113" s="200"/>
    </row>
    <row r="114" spans="6:16" ht="45" customHeight="1">
      <c r="F114" s="22"/>
      <c r="G114" s="22"/>
      <c r="H114" s="6"/>
      <c r="I114" s="23" t="s">
        <v>292</v>
      </c>
      <c r="J114" s="123">
        <v>10</v>
      </c>
      <c r="K114" s="124">
        <f>K109</f>
        <v>0</v>
      </c>
      <c r="L114" s="119"/>
      <c r="M114" s="206"/>
      <c r="N114" s="206"/>
      <c r="O114" s="206"/>
      <c r="P114" s="200"/>
    </row>
    <row r="115" spans="6:16" ht="45" customHeight="1">
      <c r="I115" s="23" t="s">
        <v>293</v>
      </c>
      <c r="J115" s="122"/>
      <c r="K115" s="136">
        <f>K113+K114</f>
        <v>0</v>
      </c>
      <c r="M115" s="206"/>
      <c r="N115" s="206"/>
      <c r="O115" s="206"/>
    </row>
    <row r="120" spans="6:16" hidden="1"/>
    <row r="121" spans="6:16" hidden="1"/>
    <row r="122" spans="6:16" hidden="1"/>
    <row r="123" spans="6:16" hidden="1"/>
    <row r="124" spans="6:16" hidden="1"/>
    <row r="125" spans="6:16" hidden="1"/>
  </sheetData>
  <sheetProtection formatCells="0" formatColumns="0" formatRows="0" insertColumns="0" insertRows="0" insertHyperlinks="0" deleteColumns="0" deleteRows="0" sort="0" autoFilter="0" pivotTables="0"/>
  <mergeCells count="56">
    <mergeCell ref="F78:F80"/>
    <mergeCell ref="G78:G80"/>
    <mergeCell ref="J104:J108"/>
    <mergeCell ref="F103:I103"/>
    <mergeCell ref="F89:F91"/>
    <mergeCell ref="G89:G91"/>
    <mergeCell ref="F94:I94"/>
    <mergeCell ref="F95:F96"/>
    <mergeCell ref="G95:G96"/>
    <mergeCell ref="G97:G98"/>
    <mergeCell ref="F82:F83"/>
    <mergeCell ref="G82:G83"/>
    <mergeCell ref="F86:I86"/>
    <mergeCell ref="F87:F88"/>
    <mergeCell ref="G87:G88"/>
    <mergeCell ref="F97:F98"/>
    <mergeCell ref="F41:F42"/>
    <mergeCell ref="G41:G42"/>
    <mergeCell ref="F63:F68"/>
    <mergeCell ref="G63:G68"/>
    <mergeCell ref="F72:F77"/>
    <mergeCell ref="G72:G77"/>
    <mergeCell ref="F43:F44"/>
    <mergeCell ref="G43:G44"/>
    <mergeCell ref="F47:I47"/>
    <mergeCell ref="F48:F49"/>
    <mergeCell ref="G48:G49"/>
    <mergeCell ref="F38:F40"/>
    <mergeCell ref="G38:G40"/>
    <mergeCell ref="G23:G24"/>
    <mergeCell ref="F27:I27"/>
    <mergeCell ref="F28:F30"/>
    <mergeCell ref="G28:G30"/>
    <mergeCell ref="F31:F33"/>
    <mergeCell ref="G31:G33"/>
    <mergeCell ref="F20:F22"/>
    <mergeCell ref="G20:G22"/>
    <mergeCell ref="F23:F24"/>
    <mergeCell ref="F34:F37"/>
    <mergeCell ref="G34:G37"/>
    <mergeCell ref="F1:I1"/>
    <mergeCell ref="G2:H2"/>
    <mergeCell ref="G3:H3"/>
    <mergeCell ref="F8:F12"/>
    <mergeCell ref="G8:G12"/>
    <mergeCell ref="F13:F14"/>
    <mergeCell ref="G13:G14"/>
    <mergeCell ref="F16:F17"/>
    <mergeCell ref="G16:G17"/>
    <mergeCell ref="F18:F19"/>
    <mergeCell ref="G18:G19"/>
    <mergeCell ref="L74:L77"/>
    <mergeCell ref="F50:F51"/>
    <mergeCell ref="G50:G51"/>
    <mergeCell ref="F55:F59"/>
    <mergeCell ref="G55:G59"/>
  </mergeCells>
  <conditionalFormatting sqref="E28:E44">
    <cfRule type="expression" dxfId="85" priority="13">
      <formula>$C28=TRUE</formula>
    </cfRule>
  </conditionalFormatting>
  <conditionalFormatting sqref="E63:E68">
    <cfRule type="expression" dxfId="84" priority="11">
      <formula>$C63=TRUE</formula>
    </cfRule>
  </conditionalFormatting>
  <conditionalFormatting sqref="E72:E83">
    <cfRule type="expression" dxfId="83" priority="10">
      <formula>$C72=TRUE</formula>
    </cfRule>
  </conditionalFormatting>
  <conditionalFormatting sqref="E95:E100">
    <cfRule type="expression" dxfId="82" priority="9">
      <formula>$C95=TRUE</formula>
    </cfRule>
  </conditionalFormatting>
  <conditionalFormatting sqref="E104:E108">
    <cfRule type="expression" dxfId="81" priority="5">
      <formula>$C104=TRUE</formula>
    </cfRule>
  </conditionalFormatting>
  <conditionalFormatting sqref="G52">
    <cfRule type="expression" dxfId="80" priority="44">
      <formula>$J$51=0</formula>
    </cfRule>
  </conditionalFormatting>
  <conditionalFormatting sqref="H26:J26">
    <cfRule type="expression" dxfId="79" priority="45">
      <formula>#REF!=0</formula>
    </cfRule>
  </conditionalFormatting>
  <conditionalFormatting sqref="H29:J33">
    <cfRule type="expression" dxfId="78" priority="30">
      <formula>$C29=TRUE</formula>
    </cfRule>
  </conditionalFormatting>
  <conditionalFormatting sqref="H35:J37">
    <cfRule type="expression" dxfId="77" priority="29">
      <formula>$C35=TRUE</formula>
    </cfRule>
  </conditionalFormatting>
  <conditionalFormatting sqref="H39:J44">
    <cfRule type="expression" dxfId="76" priority="28">
      <formula>$C39=TRUE</formula>
    </cfRule>
  </conditionalFormatting>
  <conditionalFormatting sqref="H55:J59">
    <cfRule type="expression" dxfId="75" priority="2">
      <formula>#REF!&lt;&gt;#REF!</formula>
    </cfRule>
  </conditionalFormatting>
  <conditionalFormatting sqref="H76:J76">
    <cfRule type="expression" dxfId="74" priority="6">
      <formula>$C$77=TRUE</formula>
    </cfRule>
  </conditionalFormatting>
  <conditionalFormatting sqref="H23:K23">
    <cfRule type="expression" dxfId="73" priority="20">
      <formula>$G$23=$R$9</formula>
    </cfRule>
  </conditionalFormatting>
  <conditionalFormatting sqref="H24:K24">
    <cfRule type="expression" dxfId="72" priority="19">
      <formula>$G$23=$R$8</formula>
    </cfRule>
  </conditionalFormatting>
  <conditionalFormatting sqref="H28:K28 K29:K44 E48:E51 E87:E91">
    <cfRule type="expression" dxfId="71" priority="32">
      <formula>$C28=TRUE</formula>
    </cfRule>
  </conditionalFormatting>
  <conditionalFormatting sqref="H48:K49">
    <cfRule type="expression" dxfId="70" priority="18">
      <formula>#REF!&lt;&gt;#REF!</formula>
    </cfRule>
  </conditionalFormatting>
  <conditionalFormatting sqref="H51:K51">
    <cfRule type="expression" dxfId="69" priority="16">
      <formula>$G$50=$R$62</formula>
    </cfRule>
  </conditionalFormatting>
  <conditionalFormatting sqref="H63:K63">
    <cfRule type="expression" dxfId="68" priority="3">
      <formula>$G$63=$R$68</formula>
    </cfRule>
  </conditionalFormatting>
  <conditionalFormatting sqref="H64:K68">
    <cfRule type="expression" dxfId="67" priority="1">
      <formula>$G$63=$R$67</formula>
    </cfRule>
  </conditionalFormatting>
  <conditionalFormatting sqref="H72:K73">
    <cfRule type="expression" dxfId="66" priority="34">
      <formula>$G$72=$R$86</formula>
    </cfRule>
  </conditionalFormatting>
  <conditionalFormatting sqref="H74:K77">
    <cfRule type="expression" dxfId="65" priority="33">
      <formula>$G$72=$R$85</formula>
    </cfRule>
  </conditionalFormatting>
  <conditionalFormatting sqref="H77:K77">
    <cfRule type="expression" dxfId="64" priority="24">
      <formula>$C$77=TRUE</formula>
    </cfRule>
  </conditionalFormatting>
  <conditionalFormatting sqref="H78:K78">
    <cfRule type="expression" dxfId="63" priority="23">
      <formula>$C$78=TRUE</formula>
    </cfRule>
  </conditionalFormatting>
  <conditionalFormatting sqref="H79:K79">
    <cfRule type="expression" dxfId="62" priority="22">
      <formula>$C$79=TRUE</formula>
    </cfRule>
  </conditionalFormatting>
  <conditionalFormatting sqref="H80:K80">
    <cfRule type="expression" dxfId="61" priority="21">
      <formula>$C$80=TRUE</formula>
    </cfRule>
  </conditionalFormatting>
  <conditionalFormatting sqref="H82:K82">
    <cfRule type="expression" dxfId="60" priority="15">
      <formula>$G$82=$R$95</formula>
    </cfRule>
  </conditionalFormatting>
  <conditionalFormatting sqref="H83:K83">
    <cfRule type="expression" dxfId="59" priority="14">
      <formula>$G$82=$R$94</formula>
    </cfRule>
  </conditionalFormatting>
  <conditionalFormatting sqref="H91:K91">
    <cfRule type="expression" dxfId="58" priority="25">
      <formula>$C$91=TRUE</formula>
    </cfRule>
  </conditionalFormatting>
  <conditionalFormatting sqref="K21:K22">
    <cfRule type="expression" dxfId="57" priority="43">
      <formula>$G$20=$I$21</formula>
    </cfRule>
  </conditionalFormatting>
  <conditionalFormatting sqref="K55:K59 H50:K50">
    <cfRule type="expression" dxfId="56" priority="17">
      <formula>$G$50=$R$63</formula>
    </cfRule>
  </conditionalFormatting>
  <conditionalFormatting sqref="K56">
    <cfRule type="expression" dxfId="55" priority="12">
      <formula>$C56=TRUE</formula>
    </cfRule>
  </conditionalFormatting>
  <conditionalFormatting sqref="K57">
    <cfRule type="expression" dxfId="54" priority="7">
      <formula>$C$57=TRUE</formula>
    </cfRule>
  </conditionalFormatting>
  <conditionalFormatting sqref="K95:K96 K98:K100">
    <cfRule type="expression" dxfId="53" priority="37">
      <formula>$G$71=$AA$72</formula>
    </cfRule>
  </conditionalFormatting>
  <conditionalFormatting sqref="K97">
    <cfRule type="expression" dxfId="52" priority="40">
      <formula>#REF!=#REF!</formula>
    </cfRule>
  </conditionalFormatting>
  <conditionalFormatting sqref="K104:K108">
    <cfRule type="expression" dxfId="51" priority="160">
      <formula>$G$84=$R$85</formula>
    </cfRule>
  </conditionalFormatting>
  <dataValidations count="15">
    <dataValidation type="decimal" operator="lessThanOrEqual" allowBlank="1" showInputMessage="1" showErrorMessage="1" sqref="K23:K24" xr:uid="{EE1ED690-E2EB-4F95-B58E-F65DF1F23CE0}">
      <formula1>1</formula1>
    </dataValidation>
    <dataValidation type="decimal" operator="lessThanOrEqual" allowBlank="1" showInputMessage="1" showErrorMessage="1" sqref="K104:K108" xr:uid="{00000000-0002-0000-0600-000005000000}">
      <formula1>10</formula1>
    </dataValidation>
    <dataValidation type="decimal" allowBlank="1" showInputMessage="1" showErrorMessage="1" sqref="K19 K7 K21:K22 K9:K17" xr:uid="{65F3DD4A-870D-463C-8E4C-72230667F145}">
      <formula1>0</formula1>
      <formula2>J7</formula2>
    </dataValidation>
    <dataValidation type="decimal" operator="lessThanOrEqual" allowBlank="1" showInputMessage="1" showErrorMessage="1" sqref="K109 K98:K100 K49:K51 K39:K44 K63:K68 K95:K96 K88 K28:K33 K35:K37 K72:K83 K55:K59 K90:K91" xr:uid="{00000000-0002-0000-0600-00000E000000}">
      <formula1>J28</formula1>
    </dataValidation>
    <dataValidation type="list" allowBlank="1" showInputMessage="1" showErrorMessage="1" promptTitle="Selection Required" prompt="Please indicate the project's desired pathway." sqref="G82:G83" xr:uid="{AFAEAA00-7D47-471C-A34C-E39736944D98}">
      <formula1>$R$94:$R$95</formula1>
    </dataValidation>
    <dataValidation type="list" allowBlank="1" showInputMessage="1" showErrorMessage="1" sqref="G53" xr:uid="{8933977B-C5AB-4810-9EB3-9742C9D6FD91}">
      <formula1>$AA$50:$AA$50</formula1>
    </dataValidation>
    <dataValidation type="list" allowBlank="1" showInputMessage="1" showErrorMessage="1" promptTitle="Selection Required" prompt="Please indicate the project's desired pathway." sqref="G50:G51" xr:uid="{2D458129-1057-4290-91B7-4051CB1F6B84}">
      <formula1>$R$62:$R$63</formula1>
    </dataValidation>
    <dataValidation type="list" allowBlank="1" showInputMessage="1" showErrorMessage="1" promptTitle="Selection Required" prompt="Please indicate the project's desired pathway." sqref="G23:G24" xr:uid="{FA613D4F-DAC8-4442-9F69-23A55623F69E}">
      <formula1>$R$8:$R$9</formula1>
    </dataValidation>
    <dataValidation type="list" allowBlank="1" showInputMessage="1" showErrorMessage="1" promptTitle="Selection Required" prompt="Please indicate the project's desired pathway." sqref="G72:G77" xr:uid="{BC5F75F9-10D7-463F-AF9F-4CED6F2488EE}">
      <formula1>$R$85:$R$86</formula1>
    </dataValidation>
    <dataValidation type="list" allowBlank="1" showInputMessage="1" showErrorMessage="1" sqref="K48 K87 K97 K8 K89 K20 K18" xr:uid="{2E32F46D-DF42-43F7-BC93-42B8FDB4F93F}">
      <formula1>$AD$7:$AD$9</formula1>
    </dataValidation>
    <dataValidation type="list" allowBlank="1" showInputMessage="1" showErrorMessage="1" sqref="G70" xr:uid="{D898A975-E444-4E5D-A67E-514951B91EDA}">
      <formula1>$T$63:$T$64</formula1>
    </dataValidation>
    <dataValidation type="list" allowBlank="1" showInputMessage="1" showErrorMessage="1" sqref="G26" xr:uid="{2A682C9D-008E-4FA1-B2CB-3050B8EAF9D9}">
      <formula1>$T$24:$T$24</formula1>
    </dataValidation>
    <dataValidation type="list" allowBlank="1" showInputMessage="1" showErrorMessage="1" sqref="G61" xr:uid="{C8592EBC-2B48-407B-956D-339EFBF89850}">
      <formula1>$AA$55:$AA$55</formula1>
    </dataValidation>
    <dataValidation type="list" allowBlank="1" showInputMessage="1" showErrorMessage="1" promptTitle="Selection Required" prompt="Please indicate the project's desired pathway." sqref="G63:G68" xr:uid="{D0688541-2C8F-451F-9A25-405D948D95DB}">
      <formula1>$R$67:$R$68</formula1>
    </dataValidation>
    <dataValidation type="list" operator="lessThanOrEqual" allowBlank="1" showInputMessage="1" showErrorMessage="1" sqref="K34 K38" xr:uid="{ED872DEB-A4DA-40FE-86B4-0DE9BF8809FD}">
      <formula1>$AD$7:$AD$9</formula1>
    </dataValidation>
  </dataValidations>
  <pageMargins left="0.70866141732283472" right="0.70866141732283472" top="0.74803149606299213" bottom="0.74803149606299213" header="0.31496062992125984" footer="0.31496062992125984"/>
  <pageSetup paperSize="9" scale="55"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4</xdr:col>
                    <xdr:colOff>38100</xdr:colOff>
                    <xdr:row>27</xdr:row>
                    <xdr:rowOff>175260</xdr:rowOff>
                  </from>
                  <to>
                    <xdr:col>5</xdr:col>
                    <xdr:colOff>556260</xdr:colOff>
                    <xdr:row>27</xdr:row>
                    <xdr:rowOff>381000</xdr:rowOff>
                  </to>
                </anchor>
              </controlPr>
            </control>
          </mc:Choice>
        </mc:AlternateContent>
        <mc:AlternateContent xmlns:mc="http://schemas.openxmlformats.org/markup-compatibility/2006">
          <mc:Choice Requires="x14">
            <control shapeId="10243" r:id="rId5" name="Check Box 3">
              <controlPr defaultSize="0" autoFill="0" autoLine="0" autoPict="0">
                <anchor moveWithCells="1">
                  <from>
                    <xdr:col>4</xdr:col>
                    <xdr:colOff>38100</xdr:colOff>
                    <xdr:row>28</xdr:row>
                    <xdr:rowOff>175260</xdr:rowOff>
                  </from>
                  <to>
                    <xdr:col>5</xdr:col>
                    <xdr:colOff>556260</xdr:colOff>
                    <xdr:row>28</xdr:row>
                    <xdr:rowOff>381000</xdr:rowOff>
                  </to>
                </anchor>
              </controlPr>
            </control>
          </mc:Choice>
        </mc:AlternateContent>
        <mc:AlternateContent xmlns:mc="http://schemas.openxmlformats.org/markup-compatibility/2006">
          <mc:Choice Requires="x14">
            <control shapeId="10244" r:id="rId6" name="Check Box 4">
              <controlPr defaultSize="0" autoFill="0" autoLine="0" autoPict="0">
                <anchor moveWithCells="1">
                  <from>
                    <xdr:col>4</xdr:col>
                    <xdr:colOff>38100</xdr:colOff>
                    <xdr:row>29</xdr:row>
                    <xdr:rowOff>175260</xdr:rowOff>
                  </from>
                  <to>
                    <xdr:col>5</xdr:col>
                    <xdr:colOff>556260</xdr:colOff>
                    <xdr:row>29</xdr:row>
                    <xdr:rowOff>381000</xdr:rowOff>
                  </to>
                </anchor>
              </controlPr>
            </control>
          </mc:Choice>
        </mc:AlternateContent>
        <mc:AlternateContent xmlns:mc="http://schemas.openxmlformats.org/markup-compatibility/2006">
          <mc:Choice Requires="x14">
            <control shapeId="10245" r:id="rId7" name="Check Box 5">
              <controlPr defaultSize="0" autoFill="0" autoLine="0" autoPict="0">
                <anchor moveWithCells="1">
                  <from>
                    <xdr:col>4</xdr:col>
                    <xdr:colOff>38100</xdr:colOff>
                    <xdr:row>30</xdr:row>
                    <xdr:rowOff>175260</xdr:rowOff>
                  </from>
                  <to>
                    <xdr:col>5</xdr:col>
                    <xdr:colOff>556260</xdr:colOff>
                    <xdr:row>30</xdr:row>
                    <xdr:rowOff>381000</xdr:rowOff>
                  </to>
                </anchor>
              </controlPr>
            </control>
          </mc:Choice>
        </mc:AlternateContent>
        <mc:AlternateContent xmlns:mc="http://schemas.openxmlformats.org/markup-compatibility/2006">
          <mc:Choice Requires="x14">
            <control shapeId="10246" r:id="rId8" name="Check Box 6">
              <controlPr defaultSize="0" autoFill="0" autoLine="0" autoPict="0">
                <anchor moveWithCells="1">
                  <from>
                    <xdr:col>4</xdr:col>
                    <xdr:colOff>38100</xdr:colOff>
                    <xdr:row>31</xdr:row>
                    <xdr:rowOff>175260</xdr:rowOff>
                  </from>
                  <to>
                    <xdr:col>5</xdr:col>
                    <xdr:colOff>556260</xdr:colOff>
                    <xdr:row>31</xdr:row>
                    <xdr:rowOff>381000</xdr:rowOff>
                  </to>
                </anchor>
              </controlPr>
            </control>
          </mc:Choice>
        </mc:AlternateContent>
        <mc:AlternateContent xmlns:mc="http://schemas.openxmlformats.org/markup-compatibility/2006">
          <mc:Choice Requires="x14">
            <control shapeId="10248" r:id="rId9" name="Check Box 8">
              <controlPr defaultSize="0" autoFill="0" autoLine="0" autoPict="0">
                <anchor moveWithCells="1">
                  <from>
                    <xdr:col>4</xdr:col>
                    <xdr:colOff>38100</xdr:colOff>
                    <xdr:row>34</xdr:row>
                    <xdr:rowOff>175260</xdr:rowOff>
                  </from>
                  <to>
                    <xdr:col>5</xdr:col>
                    <xdr:colOff>556260</xdr:colOff>
                    <xdr:row>34</xdr:row>
                    <xdr:rowOff>381000</xdr:rowOff>
                  </to>
                </anchor>
              </controlPr>
            </control>
          </mc:Choice>
        </mc:AlternateContent>
        <mc:AlternateContent xmlns:mc="http://schemas.openxmlformats.org/markup-compatibility/2006">
          <mc:Choice Requires="x14">
            <control shapeId="10249" r:id="rId10" name="Check Box 9">
              <controlPr defaultSize="0" autoFill="0" autoLine="0" autoPict="0">
                <anchor moveWithCells="1">
                  <from>
                    <xdr:col>4</xdr:col>
                    <xdr:colOff>38100</xdr:colOff>
                    <xdr:row>35</xdr:row>
                    <xdr:rowOff>175260</xdr:rowOff>
                  </from>
                  <to>
                    <xdr:col>5</xdr:col>
                    <xdr:colOff>556260</xdr:colOff>
                    <xdr:row>35</xdr:row>
                    <xdr:rowOff>381000</xdr:rowOff>
                  </to>
                </anchor>
              </controlPr>
            </control>
          </mc:Choice>
        </mc:AlternateContent>
        <mc:AlternateContent xmlns:mc="http://schemas.openxmlformats.org/markup-compatibility/2006">
          <mc:Choice Requires="x14">
            <control shapeId="10251" r:id="rId11" name="Check Box 11">
              <controlPr defaultSize="0" autoFill="0" autoLine="0" autoPict="0">
                <anchor moveWithCells="1">
                  <from>
                    <xdr:col>4</xdr:col>
                    <xdr:colOff>38100</xdr:colOff>
                    <xdr:row>38</xdr:row>
                    <xdr:rowOff>175260</xdr:rowOff>
                  </from>
                  <to>
                    <xdr:col>5</xdr:col>
                    <xdr:colOff>556260</xdr:colOff>
                    <xdr:row>38</xdr:row>
                    <xdr:rowOff>381000</xdr:rowOff>
                  </to>
                </anchor>
              </controlPr>
            </control>
          </mc:Choice>
        </mc:AlternateContent>
        <mc:AlternateContent xmlns:mc="http://schemas.openxmlformats.org/markup-compatibility/2006">
          <mc:Choice Requires="x14">
            <control shapeId="10252" r:id="rId12" name="Check Box 12">
              <controlPr defaultSize="0" autoFill="0" autoLine="0" autoPict="0">
                <anchor moveWithCells="1">
                  <from>
                    <xdr:col>4</xdr:col>
                    <xdr:colOff>38100</xdr:colOff>
                    <xdr:row>39</xdr:row>
                    <xdr:rowOff>175260</xdr:rowOff>
                  </from>
                  <to>
                    <xdr:col>5</xdr:col>
                    <xdr:colOff>556260</xdr:colOff>
                    <xdr:row>39</xdr:row>
                    <xdr:rowOff>381000</xdr:rowOff>
                  </to>
                </anchor>
              </controlPr>
            </control>
          </mc:Choice>
        </mc:AlternateContent>
        <mc:AlternateContent xmlns:mc="http://schemas.openxmlformats.org/markup-compatibility/2006">
          <mc:Choice Requires="x14">
            <control shapeId="10253" r:id="rId13" name="Check Box 13">
              <controlPr defaultSize="0" autoFill="0" autoLine="0" autoPict="0">
                <anchor moveWithCells="1">
                  <from>
                    <xdr:col>4</xdr:col>
                    <xdr:colOff>38100</xdr:colOff>
                    <xdr:row>40</xdr:row>
                    <xdr:rowOff>175260</xdr:rowOff>
                  </from>
                  <to>
                    <xdr:col>5</xdr:col>
                    <xdr:colOff>556260</xdr:colOff>
                    <xdr:row>40</xdr:row>
                    <xdr:rowOff>381000</xdr:rowOff>
                  </to>
                </anchor>
              </controlPr>
            </control>
          </mc:Choice>
        </mc:AlternateContent>
        <mc:AlternateContent xmlns:mc="http://schemas.openxmlformats.org/markup-compatibility/2006">
          <mc:Choice Requires="x14">
            <control shapeId="10254" r:id="rId14" name="Check Box 14">
              <controlPr defaultSize="0" autoFill="0" autoLine="0" autoPict="0">
                <anchor moveWithCells="1">
                  <from>
                    <xdr:col>4</xdr:col>
                    <xdr:colOff>38100</xdr:colOff>
                    <xdr:row>41</xdr:row>
                    <xdr:rowOff>175260</xdr:rowOff>
                  </from>
                  <to>
                    <xdr:col>5</xdr:col>
                    <xdr:colOff>556260</xdr:colOff>
                    <xdr:row>41</xdr:row>
                    <xdr:rowOff>381000</xdr:rowOff>
                  </to>
                </anchor>
              </controlPr>
            </control>
          </mc:Choice>
        </mc:AlternateContent>
        <mc:AlternateContent xmlns:mc="http://schemas.openxmlformats.org/markup-compatibility/2006">
          <mc:Choice Requires="x14">
            <control shapeId="10255" r:id="rId15" name="Check Box 15">
              <controlPr defaultSize="0" autoFill="0" autoLine="0" autoPict="0">
                <anchor moveWithCells="1">
                  <from>
                    <xdr:col>4</xdr:col>
                    <xdr:colOff>38100</xdr:colOff>
                    <xdr:row>42</xdr:row>
                    <xdr:rowOff>175260</xdr:rowOff>
                  </from>
                  <to>
                    <xdr:col>5</xdr:col>
                    <xdr:colOff>556260</xdr:colOff>
                    <xdr:row>42</xdr:row>
                    <xdr:rowOff>381000</xdr:rowOff>
                  </to>
                </anchor>
              </controlPr>
            </control>
          </mc:Choice>
        </mc:AlternateContent>
        <mc:AlternateContent xmlns:mc="http://schemas.openxmlformats.org/markup-compatibility/2006">
          <mc:Choice Requires="x14">
            <control shapeId="10258" r:id="rId16" name="Check Box 18">
              <controlPr defaultSize="0" autoFill="0" autoLine="0" autoPict="0">
                <anchor moveWithCells="1">
                  <from>
                    <xdr:col>4</xdr:col>
                    <xdr:colOff>38100</xdr:colOff>
                    <xdr:row>79</xdr:row>
                    <xdr:rowOff>175260</xdr:rowOff>
                  </from>
                  <to>
                    <xdr:col>5</xdr:col>
                    <xdr:colOff>556260</xdr:colOff>
                    <xdr:row>79</xdr:row>
                    <xdr:rowOff>381000</xdr:rowOff>
                  </to>
                </anchor>
              </controlPr>
            </control>
          </mc:Choice>
        </mc:AlternateContent>
        <mc:AlternateContent xmlns:mc="http://schemas.openxmlformats.org/markup-compatibility/2006">
          <mc:Choice Requires="x14">
            <control shapeId="10262" r:id="rId17" name="Check Box 22">
              <controlPr defaultSize="0" autoFill="0" autoLine="0" autoPict="0">
                <anchor moveWithCells="1">
                  <from>
                    <xdr:col>4</xdr:col>
                    <xdr:colOff>38100</xdr:colOff>
                    <xdr:row>90</xdr:row>
                    <xdr:rowOff>175260</xdr:rowOff>
                  </from>
                  <to>
                    <xdr:col>5</xdr:col>
                    <xdr:colOff>556260</xdr:colOff>
                    <xdr:row>90</xdr:row>
                    <xdr:rowOff>381000</xdr:rowOff>
                  </to>
                </anchor>
              </controlPr>
            </control>
          </mc:Choice>
        </mc:AlternateContent>
        <mc:AlternateContent xmlns:mc="http://schemas.openxmlformats.org/markup-compatibility/2006">
          <mc:Choice Requires="x14">
            <control shapeId="10291" r:id="rId18" name="Check Box 51">
              <controlPr defaultSize="0" autoFill="0" autoLine="0" autoPict="0">
                <anchor moveWithCells="1">
                  <from>
                    <xdr:col>4</xdr:col>
                    <xdr:colOff>38100</xdr:colOff>
                    <xdr:row>28</xdr:row>
                    <xdr:rowOff>175260</xdr:rowOff>
                  </from>
                  <to>
                    <xdr:col>5</xdr:col>
                    <xdr:colOff>563880</xdr:colOff>
                    <xdr:row>28</xdr:row>
                    <xdr:rowOff>381000</xdr:rowOff>
                  </to>
                </anchor>
              </controlPr>
            </control>
          </mc:Choice>
        </mc:AlternateContent>
        <mc:AlternateContent xmlns:mc="http://schemas.openxmlformats.org/markup-compatibility/2006">
          <mc:Choice Requires="x14">
            <control shapeId="10292" r:id="rId19" name="Check Box 52">
              <controlPr defaultSize="0" autoFill="0" autoLine="0" autoPict="0">
                <anchor moveWithCells="1">
                  <from>
                    <xdr:col>4</xdr:col>
                    <xdr:colOff>38100</xdr:colOff>
                    <xdr:row>27</xdr:row>
                    <xdr:rowOff>182880</xdr:rowOff>
                  </from>
                  <to>
                    <xdr:col>5</xdr:col>
                    <xdr:colOff>563880</xdr:colOff>
                    <xdr:row>27</xdr:row>
                    <xdr:rowOff>396240</xdr:rowOff>
                  </to>
                </anchor>
              </controlPr>
            </control>
          </mc:Choice>
        </mc:AlternateContent>
        <mc:AlternateContent xmlns:mc="http://schemas.openxmlformats.org/markup-compatibility/2006">
          <mc:Choice Requires="x14">
            <control shapeId="10293" r:id="rId20" name="Check Box 53">
              <controlPr defaultSize="0" autoFill="0" autoLine="0" autoPict="0">
                <anchor moveWithCells="1">
                  <from>
                    <xdr:col>4</xdr:col>
                    <xdr:colOff>38100</xdr:colOff>
                    <xdr:row>29</xdr:row>
                    <xdr:rowOff>175260</xdr:rowOff>
                  </from>
                  <to>
                    <xdr:col>5</xdr:col>
                    <xdr:colOff>563880</xdr:colOff>
                    <xdr:row>29</xdr:row>
                    <xdr:rowOff>381000</xdr:rowOff>
                  </to>
                </anchor>
              </controlPr>
            </control>
          </mc:Choice>
        </mc:AlternateContent>
        <mc:AlternateContent xmlns:mc="http://schemas.openxmlformats.org/markup-compatibility/2006">
          <mc:Choice Requires="x14">
            <control shapeId="10294" r:id="rId21" name="Check Box 54">
              <controlPr defaultSize="0" autoFill="0" autoLine="0" autoPict="0">
                <anchor moveWithCells="1">
                  <from>
                    <xdr:col>4</xdr:col>
                    <xdr:colOff>38100</xdr:colOff>
                    <xdr:row>30</xdr:row>
                    <xdr:rowOff>175260</xdr:rowOff>
                  </from>
                  <to>
                    <xdr:col>5</xdr:col>
                    <xdr:colOff>563880</xdr:colOff>
                    <xdr:row>30</xdr:row>
                    <xdr:rowOff>381000</xdr:rowOff>
                  </to>
                </anchor>
              </controlPr>
            </control>
          </mc:Choice>
        </mc:AlternateContent>
        <mc:AlternateContent xmlns:mc="http://schemas.openxmlformats.org/markup-compatibility/2006">
          <mc:Choice Requires="x14">
            <control shapeId="10295" r:id="rId22" name="Check Box 55">
              <controlPr defaultSize="0" autoFill="0" autoLine="0" autoPict="0">
                <anchor moveWithCells="1">
                  <from>
                    <xdr:col>4</xdr:col>
                    <xdr:colOff>38100</xdr:colOff>
                    <xdr:row>31</xdr:row>
                    <xdr:rowOff>175260</xdr:rowOff>
                  </from>
                  <to>
                    <xdr:col>5</xdr:col>
                    <xdr:colOff>563880</xdr:colOff>
                    <xdr:row>31</xdr:row>
                    <xdr:rowOff>381000</xdr:rowOff>
                  </to>
                </anchor>
              </controlPr>
            </control>
          </mc:Choice>
        </mc:AlternateContent>
        <mc:AlternateContent xmlns:mc="http://schemas.openxmlformats.org/markup-compatibility/2006">
          <mc:Choice Requires="x14">
            <control shapeId="10296" r:id="rId23" name="Check Box 56">
              <controlPr defaultSize="0" autoFill="0" autoLine="0" autoPict="0">
                <anchor moveWithCells="1">
                  <from>
                    <xdr:col>4</xdr:col>
                    <xdr:colOff>38100</xdr:colOff>
                    <xdr:row>32</xdr:row>
                    <xdr:rowOff>175260</xdr:rowOff>
                  </from>
                  <to>
                    <xdr:col>5</xdr:col>
                    <xdr:colOff>563880</xdr:colOff>
                    <xdr:row>32</xdr:row>
                    <xdr:rowOff>381000</xdr:rowOff>
                  </to>
                </anchor>
              </controlPr>
            </control>
          </mc:Choice>
        </mc:AlternateContent>
        <mc:AlternateContent xmlns:mc="http://schemas.openxmlformats.org/markup-compatibility/2006">
          <mc:Choice Requires="x14">
            <control shapeId="10297" r:id="rId24" name="Check Box 57">
              <controlPr defaultSize="0" autoFill="0" autoLine="0" autoPict="0">
                <anchor moveWithCells="1">
                  <from>
                    <xdr:col>4</xdr:col>
                    <xdr:colOff>38100</xdr:colOff>
                    <xdr:row>34</xdr:row>
                    <xdr:rowOff>175260</xdr:rowOff>
                  </from>
                  <to>
                    <xdr:col>5</xdr:col>
                    <xdr:colOff>563880</xdr:colOff>
                    <xdr:row>34</xdr:row>
                    <xdr:rowOff>381000</xdr:rowOff>
                  </to>
                </anchor>
              </controlPr>
            </control>
          </mc:Choice>
        </mc:AlternateContent>
        <mc:AlternateContent xmlns:mc="http://schemas.openxmlformats.org/markup-compatibility/2006">
          <mc:Choice Requires="x14">
            <control shapeId="10298" r:id="rId25" name="Check Box 58">
              <controlPr defaultSize="0" autoFill="0" autoLine="0" autoPict="0">
                <anchor moveWithCells="1">
                  <from>
                    <xdr:col>4</xdr:col>
                    <xdr:colOff>38100</xdr:colOff>
                    <xdr:row>35</xdr:row>
                    <xdr:rowOff>175260</xdr:rowOff>
                  </from>
                  <to>
                    <xdr:col>5</xdr:col>
                    <xdr:colOff>563880</xdr:colOff>
                    <xdr:row>35</xdr:row>
                    <xdr:rowOff>381000</xdr:rowOff>
                  </to>
                </anchor>
              </controlPr>
            </control>
          </mc:Choice>
        </mc:AlternateContent>
        <mc:AlternateContent xmlns:mc="http://schemas.openxmlformats.org/markup-compatibility/2006">
          <mc:Choice Requires="x14">
            <control shapeId="10299" r:id="rId26" name="Check Box 59">
              <controlPr defaultSize="0" autoFill="0" autoLine="0" autoPict="0">
                <anchor moveWithCells="1">
                  <from>
                    <xdr:col>4</xdr:col>
                    <xdr:colOff>38100</xdr:colOff>
                    <xdr:row>36</xdr:row>
                    <xdr:rowOff>175260</xdr:rowOff>
                  </from>
                  <to>
                    <xdr:col>5</xdr:col>
                    <xdr:colOff>563880</xdr:colOff>
                    <xdr:row>36</xdr:row>
                    <xdr:rowOff>381000</xdr:rowOff>
                  </to>
                </anchor>
              </controlPr>
            </control>
          </mc:Choice>
        </mc:AlternateContent>
        <mc:AlternateContent xmlns:mc="http://schemas.openxmlformats.org/markup-compatibility/2006">
          <mc:Choice Requires="x14">
            <control shapeId="10300" r:id="rId27" name="Check Box 60">
              <controlPr defaultSize="0" autoFill="0" autoLine="0" autoPict="0">
                <anchor moveWithCells="1">
                  <from>
                    <xdr:col>4</xdr:col>
                    <xdr:colOff>38100</xdr:colOff>
                    <xdr:row>38</xdr:row>
                    <xdr:rowOff>175260</xdr:rowOff>
                  </from>
                  <to>
                    <xdr:col>5</xdr:col>
                    <xdr:colOff>563880</xdr:colOff>
                    <xdr:row>38</xdr:row>
                    <xdr:rowOff>381000</xdr:rowOff>
                  </to>
                </anchor>
              </controlPr>
            </control>
          </mc:Choice>
        </mc:AlternateContent>
        <mc:AlternateContent xmlns:mc="http://schemas.openxmlformats.org/markup-compatibility/2006">
          <mc:Choice Requires="x14">
            <control shapeId="10301" r:id="rId28" name="Check Box 61">
              <controlPr defaultSize="0" autoFill="0" autoLine="0" autoPict="0">
                <anchor moveWithCells="1">
                  <from>
                    <xdr:col>4</xdr:col>
                    <xdr:colOff>38100</xdr:colOff>
                    <xdr:row>39</xdr:row>
                    <xdr:rowOff>175260</xdr:rowOff>
                  </from>
                  <to>
                    <xdr:col>5</xdr:col>
                    <xdr:colOff>563880</xdr:colOff>
                    <xdr:row>39</xdr:row>
                    <xdr:rowOff>381000</xdr:rowOff>
                  </to>
                </anchor>
              </controlPr>
            </control>
          </mc:Choice>
        </mc:AlternateContent>
        <mc:AlternateContent xmlns:mc="http://schemas.openxmlformats.org/markup-compatibility/2006">
          <mc:Choice Requires="x14">
            <control shapeId="10302" r:id="rId29" name="Check Box 62">
              <controlPr defaultSize="0" autoFill="0" autoLine="0" autoPict="0">
                <anchor moveWithCells="1">
                  <from>
                    <xdr:col>4</xdr:col>
                    <xdr:colOff>38100</xdr:colOff>
                    <xdr:row>40</xdr:row>
                    <xdr:rowOff>175260</xdr:rowOff>
                  </from>
                  <to>
                    <xdr:col>5</xdr:col>
                    <xdr:colOff>563880</xdr:colOff>
                    <xdr:row>40</xdr:row>
                    <xdr:rowOff>381000</xdr:rowOff>
                  </to>
                </anchor>
              </controlPr>
            </control>
          </mc:Choice>
        </mc:AlternateContent>
        <mc:AlternateContent xmlns:mc="http://schemas.openxmlformats.org/markup-compatibility/2006">
          <mc:Choice Requires="x14">
            <control shapeId="10303" r:id="rId30" name="Check Box 63">
              <controlPr defaultSize="0" autoFill="0" autoLine="0" autoPict="0">
                <anchor moveWithCells="1">
                  <from>
                    <xdr:col>4</xdr:col>
                    <xdr:colOff>38100</xdr:colOff>
                    <xdr:row>41</xdr:row>
                    <xdr:rowOff>175260</xdr:rowOff>
                  </from>
                  <to>
                    <xdr:col>5</xdr:col>
                    <xdr:colOff>563880</xdr:colOff>
                    <xdr:row>41</xdr:row>
                    <xdr:rowOff>381000</xdr:rowOff>
                  </to>
                </anchor>
              </controlPr>
            </control>
          </mc:Choice>
        </mc:AlternateContent>
        <mc:AlternateContent xmlns:mc="http://schemas.openxmlformats.org/markup-compatibility/2006">
          <mc:Choice Requires="x14">
            <control shapeId="10304" r:id="rId31" name="Check Box 64">
              <controlPr defaultSize="0" autoFill="0" autoLine="0" autoPict="0">
                <anchor moveWithCells="1">
                  <from>
                    <xdr:col>4</xdr:col>
                    <xdr:colOff>38100</xdr:colOff>
                    <xdr:row>42</xdr:row>
                    <xdr:rowOff>175260</xdr:rowOff>
                  </from>
                  <to>
                    <xdr:col>5</xdr:col>
                    <xdr:colOff>563880</xdr:colOff>
                    <xdr:row>42</xdr:row>
                    <xdr:rowOff>381000</xdr:rowOff>
                  </to>
                </anchor>
              </controlPr>
            </control>
          </mc:Choice>
        </mc:AlternateContent>
        <mc:AlternateContent xmlns:mc="http://schemas.openxmlformats.org/markup-compatibility/2006">
          <mc:Choice Requires="x14">
            <control shapeId="10305" r:id="rId32" name="Check Box 65">
              <controlPr defaultSize="0" autoFill="0" autoLine="0" autoPict="0">
                <anchor moveWithCells="1">
                  <from>
                    <xdr:col>4</xdr:col>
                    <xdr:colOff>38100</xdr:colOff>
                    <xdr:row>43</xdr:row>
                    <xdr:rowOff>175260</xdr:rowOff>
                  </from>
                  <to>
                    <xdr:col>5</xdr:col>
                    <xdr:colOff>563880</xdr:colOff>
                    <xdr:row>43</xdr:row>
                    <xdr:rowOff>381000</xdr:rowOff>
                  </to>
                </anchor>
              </controlPr>
            </control>
          </mc:Choice>
        </mc:AlternateContent>
        <mc:AlternateContent xmlns:mc="http://schemas.openxmlformats.org/markup-compatibility/2006">
          <mc:Choice Requires="x14">
            <control shapeId="10306" r:id="rId33" name="Check Box 66">
              <controlPr defaultSize="0" autoFill="0" autoLine="0" autoPict="0">
                <anchor moveWithCells="1">
                  <from>
                    <xdr:col>4</xdr:col>
                    <xdr:colOff>38100</xdr:colOff>
                    <xdr:row>55</xdr:row>
                    <xdr:rowOff>175260</xdr:rowOff>
                  </from>
                  <to>
                    <xdr:col>5</xdr:col>
                    <xdr:colOff>563880</xdr:colOff>
                    <xdr:row>55</xdr:row>
                    <xdr:rowOff>381000</xdr:rowOff>
                  </to>
                </anchor>
              </controlPr>
            </control>
          </mc:Choice>
        </mc:AlternateContent>
        <mc:AlternateContent xmlns:mc="http://schemas.openxmlformats.org/markup-compatibility/2006">
          <mc:Choice Requires="x14">
            <control shapeId="10307" r:id="rId34" name="Check Box 67">
              <controlPr defaultSize="0" autoFill="0" autoLine="0" autoPict="0">
                <anchor moveWithCells="1">
                  <from>
                    <xdr:col>4</xdr:col>
                    <xdr:colOff>38100</xdr:colOff>
                    <xdr:row>56</xdr:row>
                    <xdr:rowOff>175260</xdr:rowOff>
                  </from>
                  <to>
                    <xdr:col>5</xdr:col>
                    <xdr:colOff>563880</xdr:colOff>
                    <xdr:row>56</xdr:row>
                    <xdr:rowOff>381000</xdr:rowOff>
                  </to>
                </anchor>
              </controlPr>
            </control>
          </mc:Choice>
        </mc:AlternateContent>
        <mc:AlternateContent xmlns:mc="http://schemas.openxmlformats.org/markup-compatibility/2006">
          <mc:Choice Requires="x14">
            <control shapeId="10308" r:id="rId35" name="Check Box 68">
              <controlPr defaultSize="0" autoFill="0" autoLine="0" autoPict="0">
                <anchor moveWithCells="1">
                  <from>
                    <xdr:col>4</xdr:col>
                    <xdr:colOff>38100</xdr:colOff>
                    <xdr:row>66</xdr:row>
                    <xdr:rowOff>175260</xdr:rowOff>
                  </from>
                  <to>
                    <xdr:col>5</xdr:col>
                    <xdr:colOff>563880</xdr:colOff>
                    <xdr:row>66</xdr:row>
                    <xdr:rowOff>381000</xdr:rowOff>
                  </to>
                </anchor>
              </controlPr>
            </control>
          </mc:Choice>
        </mc:AlternateContent>
        <mc:AlternateContent xmlns:mc="http://schemas.openxmlformats.org/markup-compatibility/2006">
          <mc:Choice Requires="x14">
            <control shapeId="10309" r:id="rId36" name="Check Box 69">
              <controlPr defaultSize="0" autoFill="0" autoLine="0" autoPict="0">
                <anchor moveWithCells="1">
                  <from>
                    <xdr:col>4</xdr:col>
                    <xdr:colOff>38100</xdr:colOff>
                    <xdr:row>67</xdr:row>
                    <xdr:rowOff>175260</xdr:rowOff>
                  </from>
                  <to>
                    <xdr:col>5</xdr:col>
                    <xdr:colOff>563880</xdr:colOff>
                    <xdr:row>67</xdr:row>
                    <xdr:rowOff>381000</xdr:rowOff>
                  </to>
                </anchor>
              </controlPr>
            </control>
          </mc:Choice>
        </mc:AlternateContent>
        <mc:AlternateContent xmlns:mc="http://schemas.openxmlformats.org/markup-compatibility/2006">
          <mc:Choice Requires="x14">
            <control shapeId="10310" r:id="rId37" name="Check Box 70">
              <controlPr defaultSize="0" autoFill="0" autoLine="0" autoPict="0">
                <anchor moveWithCells="1">
                  <from>
                    <xdr:col>4</xdr:col>
                    <xdr:colOff>38100</xdr:colOff>
                    <xdr:row>90</xdr:row>
                    <xdr:rowOff>175260</xdr:rowOff>
                  </from>
                  <to>
                    <xdr:col>5</xdr:col>
                    <xdr:colOff>563880</xdr:colOff>
                    <xdr:row>90</xdr:row>
                    <xdr:rowOff>381000</xdr:rowOff>
                  </to>
                </anchor>
              </controlPr>
            </control>
          </mc:Choice>
        </mc:AlternateContent>
        <mc:AlternateContent xmlns:mc="http://schemas.openxmlformats.org/markup-compatibility/2006">
          <mc:Choice Requires="x14">
            <control shapeId="10311" r:id="rId38" name="Check Box 71">
              <controlPr defaultSize="0" autoFill="0" autoLine="0" autoPict="0">
                <anchor moveWithCells="1">
                  <from>
                    <xdr:col>4</xdr:col>
                    <xdr:colOff>38100</xdr:colOff>
                    <xdr:row>77</xdr:row>
                    <xdr:rowOff>175260</xdr:rowOff>
                  </from>
                  <to>
                    <xdr:col>5</xdr:col>
                    <xdr:colOff>563880</xdr:colOff>
                    <xdr:row>77</xdr:row>
                    <xdr:rowOff>381000</xdr:rowOff>
                  </to>
                </anchor>
              </controlPr>
            </control>
          </mc:Choice>
        </mc:AlternateContent>
        <mc:AlternateContent xmlns:mc="http://schemas.openxmlformats.org/markup-compatibility/2006">
          <mc:Choice Requires="x14">
            <control shapeId="10312" r:id="rId39" name="Check Box 72">
              <controlPr defaultSize="0" autoFill="0" autoLine="0" autoPict="0">
                <anchor moveWithCells="1">
                  <from>
                    <xdr:col>4</xdr:col>
                    <xdr:colOff>38100</xdr:colOff>
                    <xdr:row>78</xdr:row>
                    <xdr:rowOff>175260</xdr:rowOff>
                  </from>
                  <to>
                    <xdr:col>5</xdr:col>
                    <xdr:colOff>563880</xdr:colOff>
                    <xdr:row>78</xdr:row>
                    <xdr:rowOff>381000</xdr:rowOff>
                  </to>
                </anchor>
              </controlPr>
            </control>
          </mc:Choice>
        </mc:AlternateContent>
        <mc:AlternateContent xmlns:mc="http://schemas.openxmlformats.org/markup-compatibility/2006">
          <mc:Choice Requires="x14">
            <control shapeId="10313" r:id="rId40" name="Check Box 73">
              <controlPr defaultSize="0" autoFill="0" autoLine="0" autoPict="0">
                <anchor moveWithCells="1">
                  <from>
                    <xdr:col>4</xdr:col>
                    <xdr:colOff>38100</xdr:colOff>
                    <xdr:row>79</xdr:row>
                    <xdr:rowOff>175260</xdr:rowOff>
                  </from>
                  <to>
                    <xdr:col>5</xdr:col>
                    <xdr:colOff>563880</xdr:colOff>
                    <xdr:row>79</xdr:row>
                    <xdr:rowOff>381000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E144"/>
  <sheetViews>
    <sheetView topLeftCell="T1" zoomScale="70" zoomScaleNormal="70" workbookViewId="0">
      <pane ySplit="5" topLeftCell="A6" activePane="bottomLeft" state="frozen"/>
      <selection pane="bottomLeft" activeCell="X64" sqref="X64"/>
    </sheetView>
  </sheetViews>
  <sheetFormatPr defaultColWidth="9" defaultRowHeight="13.9"/>
  <cols>
    <col min="1" max="3" width="9" style="152" customWidth="1"/>
    <col min="4" max="4" width="2.75" style="152" customWidth="1"/>
    <col min="5" max="5" width="4" style="152" customWidth="1"/>
    <col min="6" max="6" width="24" style="10" customWidth="1"/>
    <col min="7" max="7" width="47.75" style="10" customWidth="1"/>
    <col min="8" max="8" width="9.625" style="8" customWidth="1"/>
    <col min="9" max="9" width="42.75" style="10" customWidth="1"/>
    <col min="10" max="11" width="14" style="8" customWidth="1"/>
    <col min="12" max="12" width="14" style="11" customWidth="1"/>
    <col min="13" max="16" width="14" style="8" customWidth="1"/>
    <col min="17" max="17" width="24" style="179" customWidth="1"/>
    <col min="18" max="18" width="9.25" style="11" customWidth="1"/>
    <col min="19" max="19" width="57.25" style="228" customWidth="1"/>
    <col min="20" max="20" width="9" style="11"/>
    <col min="21" max="21" width="8.625" style="248" customWidth="1"/>
    <col min="22" max="25" width="54.625" style="212" customWidth="1"/>
    <col min="26" max="26" width="9" style="11" customWidth="1"/>
    <col min="27" max="27" width="31.25" style="11" customWidth="1"/>
    <col min="28" max="28" width="9" style="11" customWidth="1"/>
    <col min="29" max="30" width="15.75" style="11" customWidth="1"/>
    <col min="31" max="34" width="9" style="11" customWidth="1"/>
    <col min="35" max="16384" width="9" style="11"/>
  </cols>
  <sheetData>
    <row r="1" spans="1:31" ht="43.5" customHeight="1">
      <c r="A1" s="152" t="s">
        <v>14</v>
      </c>
      <c r="B1" s="152" t="s">
        <v>14</v>
      </c>
      <c r="C1" s="152" t="s">
        <v>14</v>
      </c>
      <c r="F1" s="338" t="s">
        <v>355</v>
      </c>
      <c r="G1" s="339"/>
      <c r="H1" s="339"/>
      <c r="I1" s="339"/>
      <c r="J1" s="6"/>
      <c r="K1" s="6"/>
      <c r="L1" s="7"/>
      <c r="O1" s="8" t="s">
        <v>14</v>
      </c>
      <c r="P1" s="8" t="s">
        <v>14</v>
      </c>
      <c r="Q1" s="175"/>
      <c r="R1" s="9"/>
      <c r="T1" s="9"/>
      <c r="U1" s="433" t="s">
        <v>12</v>
      </c>
      <c r="V1" s="434"/>
      <c r="W1" s="434"/>
      <c r="X1" s="250" t="s">
        <v>356</v>
      </c>
      <c r="Y1" s="249" t="s">
        <v>357</v>
      </c>
      <c r="AA1" s="11" t="s">
        <v>14</v>
      </c>
      <c r="AB1" s="11" t="s">
        <v>14</v>
      </c>
      <c r="AC1" s="11" t="s">
        <v>14</v>
      </c>
      <c r="AD1" s="11" t="s">
        <v>14</v>
      </c>
    </row>
    <row r="2" spans="1:31" ht="37.5" customHeight="1" thickBot="1">
      <c r="A2" s="166" t="s">
        <v>77</v>
      </c>
      <c r="B2" s="166" t="s">
        <v>78</v>
      </c>
      <c r="C2" s="167" t="s">
        <v>79</v>
      </c>
      <c r="F2" s="12" t="s">
        <v>80</v>
      </c>
      <c r="G2" s="420">
        <f>'Building Input Sheet'!C5</f>
        <v>0</v>
      </c>
      <c r="H2" s="421"/>
      <c r="I2" s="13"/>
      <c r="J2" s="14" t="s">
        <v>81</v>
      </c>
      <c r="K2" s="14" t="s">
        <v>82</v>
      </c>
      <c r="L2" s="15"/>
      <c r="M2" s="14" t="s">
        <v>83</v>
      </c>
      <c r="N2" s="14" t="s">
        <v>84</v>
      </c>
      <c r="O2" s="16"/>
      <c r="P2" s="16"/>
      <c r="Q2" s="176"/>
      <c r="R2" s="17"/>
      <c r="T2" s="18"/>
      <c r="U2" s="435" t="s">
        <v>358</v>
      </c>
      <c r="V2" s="436"/>
      <c r="W2" s="437"/>
      <c r="X2" s="253"/>
      <c r="Y2" s="18"/>
    </row>
    <row r="3" spans="1:31" ht="45" customHeight="1" thickBot="1">
      <c r="F3" s="19" t="s">
        <v>88</v>
      </c>
      <c r="G3" s="422" t="str">
        <f>IF(K3&gt;=75,"6 Stars - World Excellence",IF(K3&gt;=60,"5 Star - Australian Excellence",IF(K3&gt;=45,"4 Star - Best Practice","")))</f>
        <v/>
      </c>
      <c r="H3" s="423"/>
      <c r="I3" s="20"/>
      <c r="J3" s="125">
        <f>J125</f>
        <v>100</v>
      </c>
      <c r="K3" s="126">
        <f>K128</f>
        <v>0</v>
      </c>
      <c r="L3" s="15"/>
      <c r="M3" s="173">
        <f>M125</f>
        <v>0</v>
      </c>
      <c r="N3" s="173">
        <f>N125</f>
        <v>0</v>
      </c>
      <c r="O3" s="21"/>
      <c r="P3" s="164" t="str">
        <f>IF(Q138&lt;=SUM(P134:P135),"",R138)</f>
        <v/>
      </c>
      <c r="Q3" s="177"/>
      <c r="R3" s="17"/>
      <c r="S3" s="229"/>
      <c r="T3" s="18"/>
      <c r="U3" s="438"/>
      <c r="V3" s="439"/>
      <c r="W3" s="440"/>
      <c r="X3" s="253"/>
      <c r="Y3" s="18"/>
    </row>
    <row r="4" spans="1:31" ht="37.5" customHeight="1">
      <c r="G4" s="22"/>
      <c r="H4" s="6"/>
      <c r="I4" s="22"/>
      <c r="J4" s="6"/>
      <c r="K4" s="6"/>
      <c r="L4" s="15"/>
      <c r="M4" s="6"/>
      <c r="N4" s="6"/>
      <c r="O4" s="6"/>
      <c r="P4" s="6"/>
      <c r="Q4" s="175"/>
      <c r="R4" s="9"/>
      <c r="S4" s="230"/>
      <c r="T4" s="9"/>
      <c r="U4" s="6"/>
      <c r="V4" s="9"/>
      <c r="W4" s="9"/>
      <c r="X4" s="9"/>
      <c r="Y4" s="9"/>
    </row>
    <row r="5" spans="1:31" ht="45" customHeight="1">
      <c r="E5" s="153" t="s">
        <v>92</v>
      </c>
      <c r="F5" s="23" t="s">
        <v>93</v>
      </c>
      <c r="G5" s="23" t="s">
        <v>94</v>
      </c>
      <c r="H5" s="14" t="s">
        <v>95</v>
      </c>
      <c r="I5" s="23" t="s">
        <v>96</v>
      </c>
      <c r="J5" s="14" t="s">
        <v>97</v>
      </c>
      <c r="K5" s="14" t="s">
        <v>98</v>
      </c>
      <c r="L5" s="24"/>
      <c r="M5" s="14" t="s">
        <v>99</v>
      </c>
      <c r="N5" s="14" t="s">
        <v>100</v>
      </c>
      <c r="O5" s="14" t="s">
        <v>101</v>
      </c>
      <c r="P5" s="14" t="s">
        <v>102</v>
      </c>
      <c r="Q5" s="178" t="s">
        <v>103</v>
      </c>
      <c r="R5" s="10"/>
      <c r="S5" s="204" t="s">
        <v>359</v>
      </c>
      <c r="T5" s="9"/>
      <c r="U5" s="251" t="s">
        <v>360</v>
      </c>
      <c r="V5" s="251" t="s">
        <v>361</v>
      </c>
      <c r="W5" s="251" t="s">
        <v>362</v>
      </c>
      <c r="X5" s="251" t="s">
        <v>363</v>
      </c>
      <c r="Y5" s="251" t="s">
        <v>364</v>
      </c>
    </row>
    <row r="6" spans="1:31" ht="45" customHeight="1">
      <c r="F6" s="25" t="s">
        <v>110</v>
      </c>
      <c r="G6" s="26"/>
      <c r="H6" s="27"/>
      <c r="I6" s="26"/>
      <c r="J6" s="27">
        <f>14-SUM(B7:B23)</f>
        <v>14</v>
      </c>
      <c r="K6" s="27"/>
      <c r="L6" s="24"/>
      <c r="M6" s="14"/>
      <c r="N6" s="14"/>
      <c r="O6" s="14"/>
      <c r="P6" s="14"/>
      <c r="Q6" s="178"/>
      <c r="R6" s="10"/>
      <c r="S6" s="204"/>
      <c r="T6" s="9"/>
      <c r="U6" s="252" t="s">
        <v>365</v>
      </c>
      <c r="V6" s="254" t="s">
        <v>366</v>
      </c>
      <c r="W6" s="254" t="s">
        <v>367</v>
      </c>
      <c r="X6" s="251"/>
      <c r="Y6" s="251"/>
      <c r="AC6" s="107"/>
      <c r="AD6" s="107"/>
      <c r="AE6" s="105"/>
    </row>
    <row r="7" spans="1:31" ht="45" customHeight="1">
      <c r="F7" s="184" t="s">
        <v>33</v>
      </c>
      <c r="G7" s="268" t="s">
        <v>368</v>
      </c>
      <c r="H7" s="28">
        <v>1</v>
      </c>
      <c r="I7" s="268" t="s">
        <v>308</v>
      </c>
      <c r="J7" s="29">
        <v>1</v>
      </c>
      <c r="K7" s="30"/>
      <c r="L7" s="31"/>
      <c r="M7" s="32" t="str">
        <f>IF(OR(Q7=$AC$9,Q7=$AC$10),K7,"")</f>
        <v/>
      </c>
      <c r="N7" s="32" t="str">
        <f t="shared" ref="N7:N23" si="0">IF(Q7=$AC$11,K7,"")</f>
        <v/>
      </c>
      <c r="O7" s="32"/>
      <c r="P7" s="32"/>
      <c r="Q7" s="193"/>
      <c r="R7" s="135"/>
      <c r="S7" s="231"/>
      <c r="T7" s="9"/>
      <c r="U7" s="255"/>
      <c r="V7" s="256"/>
      <c r="W7" s="256"/>
      <c r="X7" s="256"/>
      <c r="Y7" s="256"/>
      <c r="AC7" s="107"/>
      <c r="AD7" s="107"/>
      <c r="AE7" s="105"/>
    </row>
    <row r="8" spans="1:31" ht="45" customHeight="1">
      <c r="F8" s="358" t="s">
        <v>113</v>
      </c>
      <c r="G8" s="361" t="s">
        <v>369</v>
      </c>
      <c r="H8" s="34">
        <v>2</v>
      </c>
      <c r="I8" s="38" t="s">
        <v>309</v>
      </c>
      <c r="J8" s="35" t="s">
        <v>370</v>
      </c>
      <c r="K8" s="36"/>
      <c r="L8" s="31"/>
      <c r="M8" s="32" t="str">
        <f t="shared" ref="M8:M23" si="1">IF(OR(Q8=$AC$9,Q8=$AC$10),K8,"")</f>
        <v/>
      </c>
      <c r="N8" s="32" t="str">
        <f t="shared" si="0"/>
        <v/>
      </c>
      <c r="O8" s="32"/>
      <c r="P8" s="32"/>
      <c r="Q8" s="193"/>
      <c r="R8" s="135"/>
      <c r="S8" s="231"/>
      <c r="T8" s="9"/>
      <c r="U8" s="255"/>
      <c r="V8" s="256"/>
      <c r="W8" s="256"/>
      <c r="X8" s="256"/>
      <c r="Y8" s="256"/>
      <c r="AA8" s="116" t="s">
        <v>116</v>
      </c>
      <c r="AB8" s="116"/>
      <c r="AC8" s="107"/>
      <c r="AD8" s="107" t="s">
        <v>117</v>
      </c>
      <c r="AE8" s="105"/>
    </row>
    <row r="9" spans="1:31" ht="45" customHeight="1">
      <c r="F9" s="391"/>
      <c r="G9" s="424"/>
      <c r="H9" s="37">
        <v>2.1</v>
      </c>
      <c r="I9" s="38" t="s">
        <v>118</v>
      </c>
      <c r="J9" s="39">
        <v>1</v>
      </c>
      <c r="K9" s="30"/>
      <c r="L9" s="31" t="str">
        <f>IF(AND(K9&gt;0,$K$8&lt;&gt;$AD$8),"!","")</f>
        <v/>
      </c>
      <c r="M9" s="32" t="str">
        <f t="shared" si="1"/>
        <v/>
      </c>
      <c r="N9" s="32" t="str">
        <f t="shared" si="0"/>
        <v/>
      </c>
      <c r="O9" s="32"/>
      <c r="P9" s="32"/>
      <c r="Q9" s="193"/>
      <c r="R9" s="135"/>
      <c r="S9" s="231"/>
      <c r="T9" s="9"/>
      <c r="U9" s="255"/>
      <c r="V9" s="256"/>
      <c r="W9" s="256"/>
      <c r="X9" s="256"/>
      <c r="Y9" s="256"/>
      <c r="AA9" s="116" t="s">
        <v>119</v>
      </c>
      <c r="AB9" s="116" t="s">
        <v>120</v>
      </c>
      <c r="AC9" s="107" t="s">
        <v>121</v>
      </c>
      <c r="AD9" s="107" t="s">
        <v>122</v>
      </c>
      <c r="AE9" s="105"/>
    </row>
    <row r="10" spans="1:31" ht="45" customHeight="1">
      <c r="F10" s="391"/>
      <c r="G10" s="424"/>
      <c r="H10" s="37">
        <v>2.2000000000000002</v>
      </c>
      <c r="I10" s="38" t="s">
        <v>310</v>
      </c>
      <c r="J10" s="39">
        <v>1</v>
      </c>
      <c r="K10" s="30"/>
      <c r="L10" s="31" t="str">
        <f t="shared" ref="L10:L16" si="2">IF(AND(K10&gt;0,$K$8&lt;&gt;$AD$8),"!","")</f>
        <v/>
      </c>
      <c r="M10" s="32" t="str">
        <f t="shared" si="1"/>
        <v/>
      </c>
      <c r="N10" s="32" t="str">
        <f t="shared" si="0"/>
        <v/>
      </c>
      <c r="O10" s="32"/>
      <c r="P10" s="32"/>
      <c r="Q10" s="193"/>
      <c r="R10" s="135"/>
      <c r="S10" s="231"/>
      <c r="T10" s="9"/>
      <c r="U10" s="255"/>
      <c r="V10" s="256"/>
      <c r="W10" s="256"/>
      <c r="X10" s="256"/>
      <c r="Y10" s="256"/>
      <c r="AB10" s="116" t="s">
        <v>298</v>
      </c>
      <c r="AC10" s="107" t="s">
        <v>130</v>
      </c>
      <c r="AD10" s="105"/>
      <c r="AE10" s="105"/>
    </row>
    <row r="11" spans="1:31" ht="45" customHeight="1">
      <c r="F11" s="391"/>
      <c r="G11" s="424"/>
      <c r="H11" s="37">
        <v>2.2999999999999998</v>
      </c>
      <c r="I11" s="38" t="s">
        <v>311</v>
      </c>
      <c r="J11" s="39">
        <v>1</v>
      </c>
      <c r="K11" s="30"/>
      <c r="L11" s="31" t="str">
        <f t="shared" si="2"/>
        <v/>
      </c>
      <c r="M11" s="32" t="str">
        <f t="shared" si="1"/>
        <v/>
      </c>
      <c r="N11" s="32" t="str">
        <f t="shared" si="0"/>
        <v/>
      </c>
      <c r="O11" s="32"/>
      <c r="P11" s="32"/>
      <c r="Q11" s="193"/>
      <c r="R11" s="135"/>
      <c r="S11" s="231"/>
      <c r="T11" s="9"/>
      <c r="U11" s="255"/>
      <c r="V11" s="256"/>
      <c r="W11" s="256"/>
      <c r="X11" s="256"/>
      <c r="Y11" s="256"/>
      <c r="AB11" s="116" t="s">
        <v>129</v>
      </c>
      <c r="AC11" s="107" t="s">
        <v>132</v>
      </c>
      <c r="AD11" s="105"/>
      <c r="AE11" s="105"/>
    </row>
    <row r="12" spans="1:31" ht="45" customHeight="1">
      <c r="F12" s="391"/>
      <c r="G12" s="424"/>
      <c r="H12" s="37">
        <v>2.4</v>
      </c>
      <c r="I12" s="38" t="s">
        <v>123</v>
      </c>
      <c r="J12" s="39">
        <v>1</v>
      </c>
      <c r="K12" s="30"/>
      <c r="L12" s="31" t="str">
        <f t="shared" si="2"/>
        <v/>
      </c>
      <c r="M12" s="32" t="str">
        <f t="shared" si="1"/>
        <v/>
      </c>
      <c r="N12" s="32" t="str">
        <f t="shared" si="0"/>
        <v/>
      </c>
      <c r="O12" s="32"/>
      <c r="P12" s="32"/>
      <c r="Q12" s="193"/>
      <c r="R12" s="135"/>
      <c r="S12" s="231"/>
      <c r="T12" s="9"/>
      <c r="U12" s="255"/>
      <c r="V12" s="256"/>
      <c r="W12" s="256"/>
      <c r="X12" s="256"/>
      <c r="Y12" s="256"/>
      <c r="AB12" s="116" t="s">
        <v>299</v>
      </c>
      <c r="AC12" s="107"/>
      <c r="AD12" s="105"/>
      <c r="AE12" s="105"/>
    </row>
    <row r="13" spans="1:31" ht="45" customHeight="1">
      <c r="F13" s="184" t="s">
        <v>126</v>
      </c>
      <c r="G13" s="268" t="s">
        <v>127</v>
      </c>
      <c r="H13" s="28">
        <v>3.1</v>
      </c>
      <c r="I13" s="268" t="s">
        <v>312</v>
      </c>
      <c r="J13" s="29">
        <v>2</v>
      </c>
      <c r="K13" s="30"/>
      <c r="L13" s="31" t="str">
        <f t="shared" si="2"/>
        <v/>
      </c>
      <c r="M13" s="32" t="str">
        <f t="shared" si="1"/>
        <v/>
      </c>
      <c r="N13" s="32" t="str">
        <f t="shared" si="0"/>
        <v/>
      </c>
      <c r="O13" s="32"/>
      <c r="P13" s="32"/>
      <c r="Q13" s="193"/>
      <c r="R13" s="135"/>
      <c r="S13" s="231"/>
      <c r="T13" s="9"/>
      <c r="U13" s="255"/>
      <c r="V13" s="256"/>
      <c r="W13" s="256"/>
      <c r="X13" s="256"/>
      <c r="Y13" s="256"/>
      <c r="AC13" s="105"/>
      <c r="AD13" s="105"/>
      <c r="AE13" s="105"/>
    </row>
    <row r="14" spans="1:31" ht="87" customHeight="1">
      <c r="F14" s="184" t="s">
        <v>135</v>
      </c>
      <c r="G14" s="265" t="s">
        <v>371</v>
      </c>
      <c r="H14" s="28">
        <v>4.0999999999999996</v>
      </c>
      <c r="I14" s="268" t="s">
        <v>135</v>
      </c>
      <c r="J14" s="29">
        <v>1</v>
      </c>
      <c r="K14" s="30"/>
      <c r="L14" s="31" t="str">
        <f t="shared" si="2"/>
        <v/>
      </c>
      <c r="M14" s="32" t="str">
        <f t="shared" si="1"/>
        <v/>
      </c>
      <c r="N14" s="32" t="str">
        <f t="shared" si="0"/>
        <v/>
      </c>
      <c r="O14" s="32"/>
      <c r="P14" s="32"/>
      <c r="Q14" s="193"/>
      <c r="R14" s="135"/>
      <c r="S14" s="231"/>
      <c r="T14" s="9"/>
      <c r="U14" s="255"/>
      <c r="V14" s="256"/>
      <c r="W14" s="256"/>
      <c r="X14" s="256"/>
      <c r="Y14" s="256"/>
      <c r="AC14" s="105"/>
      <c r="AD14" s="105"/>
      <c r="AE14" s="105"/>
    </row>
    <row r="15" spans="1:31" ht="45" customHeight="1">
      <c r="F15" s="391" t="s">
        <v>137</v>
      </c>
      <c r="G15" s="366" t="s">
        <v>138</v>
      </c>
      <c r="H15" s="28">
        <v>5.0999999999999996</v>
      </c>
      <c r="I15" s="268" t="s">
        <v>139</v>
      </c>
      <c r="J15" s="29">
        <v>1</v>
      </c>
      <c r="K15" s="30"/>
      <c r="L15" s="31" t="str">
        <f t="shared" si="2"/>
        <v/>
      </c>
      <c r="M15" s="32" t="str">
        <f t="shared" si="1"/>
        <v/>
      </c>
      <c r="N15" s="32" t="str">
        <f t="shared" si="0"/>
        <v/>
      </c>
      <c r="O15" s="32"/>
      <c r="P15" s="32"/>
      <c r="Q15" s="193"/>
      <c r="R15" s="135"/>
      <c r="S15" s="231"/>
      <c r="T15" s="9"/>
      <c r="U15" s="255"/>
      <c r="V15" s="256"/>
      <c r="W15" s="256"/>
      <c r="X15" s="256"/>
      <c r="Y15" s="256"/>
      <c r="AC15" s="105"/>
      <c r="AD15" s="105"/>
      <c r="AE15" s="105"/>
    </row>
    <row r="16" spans="1:31" ht="45" customHeight="1">
      <c r="F16" s="391"/>
      <c r="G16" s="366"/>
      <c r="H16" s="28">
        <v>5.2</v>
      </c>
      <c r="I16" s="268" t="s">
        <v>140</v>
      </c>
      <c r="J16" s="29">
        <v>1</v>
      </c>
      <c r="K16" s="30"/>
      <c r="L16" s="31" t="str">
        <f t="shared" si="2"/>
        <v/>
      </c>
      <c r="M16" s="32" t="str">
        <f t="shared" si="1"/>
        <v/>
      </c>
      <c r="N16" s="32" t="str">
        <f t="shared" si="0"/>
        <v/>
      </c>
      <c r="O16" s="32"/>
      <c r="P16" s="32"/>
      <c r="Q16" s="193"/>
      <c r="R16" s="135"/>
      <c r="S16" s="231"/>
      <c r="T16" s="9"/>
      <c r="U16" s="255"/>
      <c r="V16" s="256"/>
      <c r="W16" s="256"/>
      <c r="X16" s="256"/>
      <c r="Y16" s="256"/>
      <c r="AC16" s="105"/>
      <c r="AD16" s="105"/>
      <c r="AE16" s="105"/>
    </row>
    <row r="17" spans="1:31" ht="45" customHeight="1">
      <c r="F17" s="391" t="s">
        <v>141</v>
      </c>
      <c r="G17" s="366" t="s">
        <v>142</v>
      </c>
      <c r="H17" s="28">
        <v>6</v>
      </c>
      <c r="I17" s="268" t="s">
        <v>143</v>
      </c>
      <c r="J17" s="29" t="s">
        <v>370</v>
      </c>
      <c r="K17" s="36"/>
      <c r="L17" s="31"/>
      <c r="M17" s="32" t="str">
        <f t="shared" si="1"/>
        <v/>
      </c>
      <c r="N17" s="32" t="str">
        <f t="shared" si="0"/>
        <v/>
      </c>
      <c r="O17" s="32"/>
      <c r="P17" s="32"/>
      <c r="Q17" s="193"/>
      <c r="R17" s="135"/>
      <c r="S17" s="231"/>
      <c r="T17" s="9"/>
      <c r="U17" s="255"/>
      <c r="V17" s="256"/>
      <c r="W17" s="256"/>
      <c r="X17" s="256"/>
      <c r="Y17" s="256"/>
      <c r="AC17" s="105"/>
      <c r="AD17" s="105"/>
      <c r="AE17" s="105"/>
    </row>
    <row r="18" spans="1:31" ht="45" customHeight="1">
      <c r="F18" s="391"/>
      <c r="G18" s="366"/>
      <c r="H18" s="28">
        <v>6.1</v>
      </c>
      <c r="I18" s="268" t="s">
        <v>145</v>
      </c>
      <c r="J18" s="29">
        <v>1</v>
      </c>
      <c r="K18" s="30"/>
      <c r="L18" s="31" t="str">
        <f>IF(AND(K18&gt;0,$K$17&lt;&gt;$AD$8),"!","")</f>
        <v/>
      </c>
      <c r="M18" s="32" t="str">
        <f t="shared" si="1"/>
        <v/>
      </c>
      <c r="N18" s="32" t="str">
        <f t="shared" si="0"/>
        <v/>
      </c>
      <c r="O18" s="32"/>
      <c r="P18" s="32"/>
      <c r="Q18" s="193"/>
      <c r="R18" s="135"/>
      <c r="S18" s="231"/>
      <c r="T18" s="9"/>
      <c r="U18" s="255"/>
      <c r="V18" s="256"/>
      <c r="W18" s="256"/>
      <c r="X18" s="256"/>
      <c r="Y18" s="256"/>
      <c r="AC18" s="105"/>
      <c r="AD18" s="105"/>
      <c r="AE18" s="105"/>
    </row>
    <row r="19" spans="1:31" ht="45" customHeight="1">
      <c r="F19" s="356" t="s">
        <v>320</v>
      </c>
      <c r="G19" s="362" t="s">
        <v>372</v>
      </c>
      <c r="H19" s="28">
        <v>7</v>
      </c>
      <c r="I19" s="268" t="s">
        <v>148</v>
      </c>
      <c r="J19" s="40" t="s">
        <v>370</v>
      </c>
      <c r="K19" s="41"/>
      <c r="L19" s="31"/>
      <c r="M19" s="32" t="str">
        <f t="shared" si="1"/>
        <v/>
      </c>
      <c r="N19" s="32" t="str">
        <f t="shared" si="0"/>
        <v/>
      </c>
      <c r="O19" s="32"/>
      <c r="P19" s="32"/>
      <c r="Q19" s="193"/>
      <c r="R19" s="135"/>
      <c r="S19" s="231"/>
      <c r="T19" s="9"/>
      <c r="U19" s="255"/>
      <c r="V19" s="256"/>
      <c r="W19" s="256"/>
      <c r="X19" s="256"/>
      <c r="Y19" s="256"/>
      <c r="AC19" s="105"/>
      <c r="AD19" s="105"/>
      <c r="AE19" s="105"/>
    </row>
    <row r="20" spans="1:31" ht="45" customHeight="1">
      <c r="F20" s="357"/>
      <c r="G20" s="363"/>
      <c r="H20" s="28">
        <v>7.1</v>
      </c>
      <c r="I20" s="268" t="s">
        <v>321</v>
      </c>
      <c r="J20" s="40">
        <v>1</v>
      </c>
      <c r="K20" s="42"/>
      <c r="L20" s="31" t="str">
        <f>IF(AND(K20&gt;0,$K$19&lt;&gt;$AD$8),"!","")</f>
        <v/>
      </c>
      <c r="M20" s="32" t="str">
        <f t="shared" si="1"/>
        <v/>
      </c>
      <c r="N20" s="32" t="str">
        <f t="shared" si="0"/>
        <v/>
      </c>
      <c r="O20" s="32"/>
      <c r="P20" s="32"/>
      <c r="Q20" s="193"/>
      <c r="R20" s="135"/>
      <c r="S20" s="231"/>
      <c r="T20" s="9"/>
      <c r="U20" s="255"/>
      <c r="V20" s="256"/>
      <c r="W20" s="256"/>
      <c r="X20" s="256"/>
      <c r="Y20" s="256"/>
      <c r="AC20" s="105"/>
      <c r="AD20" s="105"/>
      <c r="AE20" s="105"/>
    </row>
    <row r="21" spans="1:31" ht="45" customHeight="1">
      <c r="F21" s="358"/>
      <c r="G21" s="364"/>
      <c r="H21" s="28">
        <v>7.2</v>
      </c>
      <c r="I21" s="268" t="s">
        <v>150</v>
      </c>
      <c r="J21" s="40">
        <v>1</v>
      </c>
      <c r="K21" s="42"/>
      <c r="L21" s="31"/>
      <c r="M21" s="32"/>
      <c r="N21" s="32"/>
      <c r="O21" s="32"/>
      <c r="P21" s="32"/>
      <c r="Q21" s="193"/>
      <c r="R21" s="135"/>
      <c r="S21" s="231"/>
      <c r="T21" s="9"/>
      <c r="U21" s="255"/>
      <c r="V21" s="256"/>
      <c r="W21" s="256"/>
      <c r="X21" s="256"/>
      <c r="Y21" s="256"/>
      <c r="AC21" s="105"/>
      <c r="AD21" s="105"/>
      <c r="AE21" s="105"/>
    </row>
    <row r="22" spans="1:31" ht="45" customHeight="1">
      <c r="F22" s="356" t="s">
        <v>151</v>
      </c>
      <c r="G22" s="369" t="s">
        <v>116</v>
      </c>
      <c r="H22" s="28" t="s">
        <v>152</v>
      </c>
      <c r="I22" s="268" t="s">
        <v>153</v>
      </c>
      <c r="J22" s="40">
        <f>IF(G22=AA8,1,"-")</f>
        <v>1</v>
      </c>
      <c r="K22" s="42"/>
      <c r="L22" s="31" t="str">
        <f>IF(AND(K22&gt;0,G22="Prescriptive Pathway"),"!","")</f>
        <v/>
      </c>
      <c r="M22" s="32" t="str">
        <f t="shared" si="1"/>
        <v/>
      </c>
      <c r="N22" s="32" t="str">
        <f t="shared" si="0"/>
        <v/>
      </c>
      <c r="O22" s="32"/>
      <c r="P22" s="32"/>
      <c r="Q22" s="193"/>
      <c r="R22" s="135"/>
      <c r="S22" s="231"/>
      <c r="T22" s="9"/>
      <c r="U22" s="255"/>
      <c r="V22" s="256"/>
      <c r="W22" s="256"/>
      <c r="X22" s="256"/>
      <c r="Y22" s="256"/>
      <c r="AC22" s="105"/>
      <c r="AD22" s="105"/>
      <c r="AE22" s="105"/>
    </row>
    <row r="23" spans="1:31" ht="45" customHeight="1">
      <c r="F23" s="358"/>
      <c r="G23" s="370"/>
      <c r="H23" s="28" t="s">
        <v>154</v>
      </c>
      <c r="I23" s="268" t="s">
        <v>155</v>
      </c>
      <c r="J23" s="40" t="str">
        <f>IF(G22=AA9,1,"-")</f>
        <v>-</v>
      </c>
      <c r="K23" s="42"/>
      <c r="L23" s="31" t="str">
        <f>IF(AND(K23&gt;0,G22="Performance Pathway"),"!","")</f>
        <v/>
      </c>
      <c r="M23" s="32" t="str">
        <f t="shared" si="1"/>
        <v/>
      </c>
      <c r="N23" s="32" t="str">
        <f t="shared" si="0"/>
        <v/>
      </c>
      <c r="O23" s="32"/>
      <c r="P23" s="32"/>
      <c r="Q23" s="193"/>
      <c r="R23" s="135"/>
      <c r="S23" s="231"/>
      <c r="T23" s="9"/>
      <c r="U23" s="255"/>
      <c r="V23" s="256"/>
      <c r="W23" s="256"/>
      <c r="X23" s="256"/>
      <c r="Y23" s="256"/>
    </row>
    <row r="24" spans="1:31" ht="37.5" customHeight="1">
      <c r="F24" s="44" t="s">
        <v>27</v>
      </c>
      <c r="G24" s="44"/>
      <c r="H24" s="45"/>
      <c r="I24" s="44"/>
      <c r="J24" s="45">
        <f>SUM(J7:J23)</f>
        <v>14</v>
      </c>
      <c r="K24" s="45">
        <f>SUM(K7:K23)</f>
        <v>0</v>
      </c>
      <c r="L24" s="31" t="str">
        <f>IF(K24&gt;J24,"!","")</f>
        <v/>
      </c>
      <c r="M24" s="46">
        <f>SUM(M7:M23)</f>
        <v>0</v>
      </c>
      <c r="N24" s="46">
        <f>SUM(N7:N23)</f>
        <v>0</v>
      </c>
      <c r="O24" s="47"/>
      <c r="P24" s="47"/>
      <c r="Q24" s="181"/>
      <c r="R24" s="8"/>
      <c r="S24" s="232"/>
      <c r="T24" s="9"/>
      <c r="U24" s="242"/>
      <c r="V24" s="232"/>
      <c r="W24" s="232"/>
      <c r="X24" s="232"/>
      <c r="Y24" s="232"/>
    </row>
    <row r="25" spans="1:31" ht="45" customHeight="1">
      <c r="F25" s="48"/>
      <c r="G25" s="49"/>
      <c r="H25" s="50"/>
      <c r="I25" s="51"/>
      <c r="J25" s="52"/>
      <c r="K25" s="53"/>
      <c r="L25" s="24"/>
      <c r="M25" s="53"/>
      <c r="Q25" s="194"/>
      <c r="R25" s="33"/>
      <c r="T25" s="9"/>
      <c r="U25" s="257"/>
      <c r="V25" s="258"/>
      <c r="W25" s="258"/>
      <c r="X25" s="258"/>
      <c r="Y25" s="258"/>
    </row>
    <row r="26" spans="1:31" ht="45" customHeight="1">
      <c r="F26" s="371" t="s">
        <v>157</v>
      </c>
      <c r="G26" s="371"/>
      <c r="H26" s="371"/>
      <c r="I26" s="371"/>
      <c r="J26" s="165">
        <f>17-SUM(B27:B43)</f>
        <v>17</v>
      </c>
      <c r="K26" s="54"/>
      <c r="L26" s="31"/>
      <c r="M26" s="165"/>
      <c r="N26" s="165"/>
      <c r="O26" s="165"/>
      <c r="P26" s="165"/>
      <c r="Q26" s="182"/>
      <c r="R26" s="55"/>
      <c r="S26" s="233"/>
      <c r="T26" s="56"/>
      <c r="U26" s="243"/>
      <c r="V26" s="233"/>
      <c r="W26" s="233"/>
      <c r="X26" s="233"/>
      <c r="Y26" s="233"/>
    </row>
    <row r="27" spans="1:31" ht="45" customHeight="1">
      <c r="A27" s="152">
        <v>1</v>
      </c>
      <c r="B27" s="152">
        <f>IF(C27=TRUE,A27,0)</f>
        <v>0</v>
      </c>
      <c r="C27" s="152" t="b">
        <v>0</v>
      </c>
      <c r="E27" s="154"/>
      <c r="F27" s="365" t="s">
        <v>158</v>
      </c>
      <c r="G27" s="366" t="s">
        <v>373</v>
      </c>
      <c r="H27" s="28">
        <v>9.1</v>
      </c>
      <c r="I27" s="57" t="s">
        <v>160</v>
      </c>
      <c r="J27" s="58">
        <f>IF(C27=FALSE,A27,0)</f>
        <v>1</v>
      </c>
      <c r="K27" s="59"/>
      <c r="L27" s="31"/>
      <c r="M27" s="32" t="str">
        <f>IF(OR(Q27=$AC$9,Q27=$AC$10),K27,"")</f>
        <v/>
      </c>
      <c r="N27" s="32" t="str">
        <f t="shared" ref="N27:N43" si="3">IF(Q27=$AC$11,K27,"")</f>
        <v/>
      </c>
      <c r="O27" s="32"/>
      <c r="P27" s="32"/>
      <c r="Q27" s="193"/>
      <c r="R27" s="135"/>
      <c r="S27" s="231"/>
      <c r="T27" s="9"/>
      <c r="U27" s="255"/>
      <c r="V27" s="256"/>
      <c r="W27" s="256"/>
      <c r="X27" s="256"/>
      <c r="Y27" s="256"/>
    </row>
    <row r="28" spans="1:31" ht="45" customHeight="1">
      <c r="A28" s="152">
        <v>2</v>
      </c>
      <c r="B28" s="152">
        <f t="shared" ref="B28:B43" si="4">IF(C28=TRUE,A28,0)</f>
        <v>0</v>
      </c>
      <c r="C28" s="152" t="b">
        <v>0</v>
      </c>
      <c r="F28" s="365"/>
      <c r="G28" s="366"/>
      <c r="H28" s="28">
        <v>9.1999999999999993</v>
      </c>
      <c r="I28" s="57" t="s">
        <v>161</v>
      </c>
      <c r="J28" s="58">
        <f t="shared" ref="J28:J43" si="5">IF(C28=FALSE,A28,0)</f>
        <v>2</v>
      </c>
      <c r="K28" s="59"/>
      <c r="L28" s="31"/>
      <c r="M28" s="32" t="str">
        <f t="shared" ref="M28:M43" si="6">IF(OR(Q28=$AC$9,Q28=$AC$10),K28,"")</f>
        <v/>
      </c>
      <c r="N28" s="32" t="str">
        <f t="shared" si="3"/>
        <v/>
      </c>
      <c r="O28" s="32"/>
      <c r="P28" s="32"/>
      <c r="Q28" s="192"/>
      <c r="R28" s="135"/>
      <c r="S28" s="231"/>
      <c r="T28" s="9"/>
      <c r="U28" s="255"/>
      <c r="V28" s="256"/>
      <c r="W28" s="256"/>
      <c r="X28" s="256"/>
      <c r="Y28" s="256"/>
    </row>
    <row r="29" spans="1:31" ht="45" customHeight="1">
      <c r="A29" s="152">
        <v>1</v>
      </c>
      <c r="B29" s="152">
        <f t="shared" si="4"/>
        <v>0</v>
      </c>
      <c r="C29" s="152" t="b">
        <v>0</v>
      </c>
      <c r="F29" s="365"/>
      <c r="G29" s="366"/>
      <c r="H29" s="28">
        <v>9.3000000000000007</v>
      </c>
      <c r="I29" s="57" t="s">
        <v>162</v>
      </c>
      <c r="J29" s="58">
        <f t="shared" si="5"/>
        <v>1</v>
      </c>
      <c r="K29" s="59"/>
      <c r="L29" s="31"/>
      <c r="M29" s="32" t="str">
        <f t="shared" si="6"/>
        <v/>
      </c>
      <c r="N29" s="32" t="str">
        <f t="shared" si="3"/>
        <v/>
      </c>
      <c r="O29" s="32"/>
      <c r="P29" s="32"/>
      <c r="Q29" s="192"/>
      <c r="R29" s="135"/>
      <c r="S29" s="231"/>
      <c r="T29" s="9"/>
      <c r="U29" s="255"/>
      <c r="V29" s="256"/>
      <c r="W29" s="256"/>
      <c r="X29" s="256"/>
      <c r="Y29" s="256"/>
    </row>
    <row r="30" spans="1:31" ht="45" customHeight="1">
      <c r="A30" s="152">
        <v>1</v>
      </c>
      <c r="B30" s="152">
        <f t="shared" si="4"/>
        <v>0</v>
      </c>
      <c r="C30" s="152" t="b">
        <v>0</v>
      </c>
      <c r="F30" s="365" t="s">
        <v>163</v>
      </c>
      <c r="G30" s="366" t="s">
        <v>164</v>
      </c>
      <c r="H30" s="28">
        <v>10.1</v>
      </c>
      <c r="I30" s="57" t="s">
        <v>165</v>
      </c>
      <c r="J30" s="58">
        <f t="shared" si="5"/>
        <v>1</v>
      </c>
      <c r="K30" s="59"/>
      <c r="L30" s="31"/>
      <c r="M30" s="32" t="str">
        <f t="shared" si="6"/>
        <v/>
      </c>
      <c r="N30" s="32" t="str">
        <f t="shared" si="3"/>
        <v/>
      </c>
      <c r="O30" s="32"/>
      <c r="P30" s="32"/>
      <c r="Q30" s="192"/>
      <c r="R30" s="135"/>
      <c r="S30" s="231"/>
      <c r="T30" s="9"/>
      <c r="U30" s="255"/>
      <c r="V30" s="256"/>
      <c r="W30" s="256"/>
      <c r="X30" s="256"/>
      <c r="Y30" s="256"/>
    </row>
    <row r="31" spans="1:31" ht="45" customHeight="1">
      <c r="A31" s="152">
        <v>1</v>
      </c>
      <c r="B31" s="152">
        <f t="shared" si="4"/>
        <v>0</v>
      </c>
      <c r="C31" s="152" t="b">
        <v>0</v>
      </c>
      <c r="F31" s="365"/>
      <c r="G31" s="366"/>
      <c r="H31" s="28">
        <v>10.199999999999999</v>
      </c>
      <c r="I31" s="57" t="s">
        <v>166</v>
      </c>
      <c r="J31" s="58">
        <f t="shared" si="5"/>
        <v>1</v>
      </c>
      <c r="K31" s="59"/>
      <c r="L31" s="31"/>
      <c r="M31" s="32" t="str">
        <f t="shared" si="6"/>
        <v/>
      </c>
      <c r="N31" s="32" t="str">
        <f t="shared" si="3"/>
        <v/>
      </c>
      <c r="O31" s="32"/>
      <c r="P31" s="32"/>
      <c r="Q31" s="192"/>
      <c r="R31" s="135"/>
      <c r="S31" s="231"/>
      <c r="T31" s="9"/>
      <c r="U31" s="255"/>
      <c r="V31" s="256"/>
      <c r="W31" s="256"/>
      <c r="X31" s="256"/>
      <c r="Y31" s="256"/>
    </row>
    <row r="32" spans="1:31" ht="45" customHeight="1">
      <c r="A32" s="152">
        <v>1</v>
      </c>
      <c r="B32" s="152">
        <f t="shared" si="4"/>
        <v>0</v>
      </c>
      <c r="C32" s="152" t="b">
        <v>0</v>
      </c>
      <c r="F32" s="365"/>
      <c r="G32" s="366"/>
      <c r="H32" s="28">
        <v>10.3</v>
      </c>
      <c r="I32" s="57" t="s">
        <v>167</v>
      </c>
      <c r="J32" s="58">
        <f t="shared" si="5"/>
        <v>1</v>
      </c>
      <c r="K32" s="59"/>
      <c r="L32" s="31"/>
      <c r="M32" s="32" t="str">
        <f t="shared" si="6"/>
        <v/>
      </c>
      <c r="N32" s="32" t="str">
        <f t="shared" si="3"/>
        <v/>
      </c>
      <c r="O32" s="32"/>
      <c r="P32" s="32"/>
      <c r="Q32" s="192"/>
      <c r="R32" s="135"/>
      <c r="S32" s="231"/>
      <c r="T32" s="9"/>
      <c r="U32" s="255"/>
      <c r="V32" s="256"/>
      <c r="W32" s="256"/>
      <c r="X32" s="256"/>
      <c r="Y32" s="256"/>
    </row>
    <row r="33" spans="1:27" ht="45" customHeight="1">
      <c r="F33" s="365" t="s">
        <v>168</v>
      </c>
      <c r="G33" s="366" t="s">
        <v>169</v>
      </c>
      <c r="H33" s="28">
        <v>11</v>
      </c>
      <c r="I33" s="57" t="s">
        <v>170</v>
      </c>
      <c r="J33" s="58" t="s">
        <v>370</v>
      </c>
      <c r="K33" s="59"/>
      <c r="L33" s="31"/>
      <c r="M33" s="32" t="str">
        <f t="shared" si="6"/>
        <v/>
      </c>
      <c r="N33" s="32" t="str">
        <f t="shared" si="3"/>
        <v/>
      </c>
      <c r="O33" s="32"/>
      <c r="P33" s="32"/>
      <c r="Q33" s="192"/>
      <c r="R33" s="135"/>
      <c r="S33" s="231"/>
      <c r="T33" s="9"/>
      <c r="U33" s="255"/>
      <c r="V33" s="256"/>
      <c r="W33" s="256"/>
      <c r="X33" s="256"/>
      <c r="Y33" s="256"/>
    </row>
    <row r="34" spans="1:27" ht="45" customHeight="1">
      <c r="A34" s="152">
        <v>1</v>
      </c>
      <c r="B34" s="152">
        <f t="shared" si="4"/>
        <v>0</v>
      </c>
      <c r="C34" s="152" t="b">
        <v>0</v>
      </c>
      <c r="F34" s="365"/>
      <c r="G34" s="366"/>
      <c r="H34" s="28">
        <v>11.1</v>
      </c>
      <c r="I34" s="57" t="s">
        <v>171</v>
      </c>
      <c r="J34" s="58">
        <f t="shared" si="5"/>
        <v>1</v>
      </c>
      <c r="K34" s="59"/>
      <c r="L34" s="31" t="str">
        <f>IF(AND(K34&gt;0,$K$33&lt;&gt;$AD$8),"!","")</f>
        <v/>
      </c>
      <c r="M34" s="32" t="str">
        <f t="shared" si="6"/>
        <v/>
      </c>
      <c r="N34" s="32" t="str">
        <f t="shared" si="3"/>
        <v/>
      </c>
      <c r="O34" s="32"/>
      <c r="P34" s="32"/>
      <c r="Q34" s="192"/>
      <c r="R34" s="135"/>
      <c r="S34" s="231"/>
      <c r="T34" s="9"/>
      <c r="U34" s="255"/>
      <c r="V34" s="256"/>
      <c r="W34" s="256"/>
      <c r="X34" s="256"/>
      <c r="Y34" s="256"/>
    </row>
    <row r="35" spans="1:27" ht="45" customHeight="1">
      <c r="A35" s="152">
        <v>1</v>
      </c>
      <c r="B35" s="152">
        <f t="shared" si="4"/>
        <v>0</v>
      </c>
      <c r="C35" s="152" t="b">
        <v>0</v>
      </c>
      <c r="F35" s="365"/>
      <c r="G35" s="366"/>
      <c r="H35" s="28">
        <v>11.2</v>
      </c>
      <c r="I35" s="57" t="s">
        <v>172</v>
      </c>
      <c r="J35" s="58">
        <f t="shared" si="5"/>
        <v>1</v>
      </c>
      <c r="K35" s="59"/>
      <c r="L35" s="31" t="str">
        <f>IF(AND(K35&gt;0,$K$33&lt;&gt;$AD$8),"!","")</f>
        <v/>
      </c>
      <c r="M35" s="32" t="str">
        <f t="shared" si="6"/>
        <v/>
      </c>
      <c r="N35" s="32" t="str">
        <f t="shared" si="3"/>
        <v/>
      </c>
      <c r="O35" s="32"/>
      <c r="P35" s="32"/>
      <c r="Q35" s="192"/>
      <c r="R35" s="135"/>
      <c r="S35" s="231"/>
      <c r="T35" s="9"/>
      <c r="U35" s="255"/>
      <c r="V35" s="256"/>
      <c r="W35" s="256"/>
      <c r="X35" s="256"/>
      <c r="Y35" s="256"/>
    </row>
    <row r="36" spans="1:27" ht="45" customHeight="1">
      <c r="A36" s="152">
        <v>1</v>
      </c>
      <c r="B36" s="152">
        <f t="shared" si="4"/>
        <v>0</v>
      </c>
      <c r="C36" s="152" t="b">
        <v>0</v>
      </c>
      <c r="F36" s="365"/>
      <c r="G36" s="366"/>
      <c r="H36" s="28">
        <v>11.3</v>
      </c>
      <c r="I36" s="57" t="s">
        <v>173</v>
      </c>
      <c r="J36" s="58">
        <f t="shared" si="5"/>
        <v>1</v>
      </c>
      <c r="K36" s="59"/>
      <c r="L36" s="31" t="str">
        <f>IF(AND(K36&gt;0,$K$33&lt;&gt;$AD$8),"!","")</f>
        <v/>
      </c>
      <c r="M36" s="32" t="str">
        <f t="shared" si="6"/>
        <v/>
      </c>
      <c r="N36" s="32" t="str">
        <f t="shared" si="3"/>
        <v/>
      </c>
      <c r="O36" s="32"/>
      <c r="P36" s="32"/>
      <c r="Q36" s="192"/>
      <c r="R36" s="135"/>
      <c r="S36" s="231"/>
      <c r="T36" s="9"/>
      <c r="U36" s="255"/>
      <c r="V36" s="256"/>
      <c r="W36" s="256"/>
      <c r="X36" s="256"/>
      <c r="Y36" s="256"/>
    </row>
    <row r="37" spans="1:27" ht="45" customHeight="1">
      <c r="F37" s="365" t="s">
        <v>174</v>
      </c>
      <c r="G37" s="366" t="s">
        <v>175</v>
      </c>
      <c r="H37" s="28">
        <v>12</v>
      </c>
      <c r="I37" s="57" t="s">
        <v>176</v>
      </c>
      <c r="J37" s="58" t="s">
        <v>370</v>
      </c>
      <c r="K37" s="59"/>
      <c r="L37" s="31"/>
      <c r="M37" s="32" t="str">
        <f t="shared" si="6"/>
        <v/>
      </c>
      <c r="N37" s="32" t="str">
        <f t="shared" si="3"/>
        <v/>
      </c>
      <c r="O37" s="32"/>
      <c r="P37" s="32"/>
      <c r="Q37" s="192"/>
      <c r="R37" s="135"/>
      <c r="S37" s="231"/>
      <c r="T37" s="9"/>
      <c r="U37" s="255"/>
      <c r="V37" s="256"/>
      <c r="W37" s="256"/>
      <c r="X37" s="256"/>
      <c r="Y37" s="256"/>
    </row>
    <row r="38" spans="1:27" ht="45" customHeight="1">
      <c r="A38" s="152">
        <v>2</v>
      </c>
      <c r="B38" s="152">
        <f t="shared" si="4"/>
        <v>0</v>
      </c>
      <c r="C38" s="152" t="b">
        <v>0</v>
      </c>
      <c r="F38" s="365"/>
      <c r="G38" s="366"/>
      <c r="H38" s="28">
        <v>12.1</v>
      </c>
      <c r="I38" s="57" t="s">
        <v>177</v>
      </c>
      <c r="J38" s="58">
        <f t="shared" si="5"/>
        <v>2</v>
      </c>
      <c r="K38" s="59"/>
      <c r="L38" s="31" t="str">
        <f>IF(AND(K38&gt;0,$K$37&lt;&gt;$AD$8),"!","")</f>
        <v/>
      </c>
      <c r="M38" s="32" t="str">
        <f t="shared" si="6"/>
        <v/>
      </c>
      <c r="N38" s="32" t="str">
        <f t="shared" si="3"/>
        <v/>
      </c>
      <c r="O38" s="32"/>
      <c r="P38" s="32"/>
      <c r="Q38" s="192"/>
      <c r="R38" s="135"/>
      <c r="S38" s="231"/>
      <c r="T38" s="9"/>
      <c r="U38" s="255"/>
      <c r="V38" s="256"/>
      <c r="W38" s="256"/>
      <c r="X38" s="256"/>
      <c r="Y38" s="256"/>
    </row>
    <row r="39" spans="1:27" ht="45" customHeight="1">
      <c r="A39" s="152">
        <v>1</v>
      </c>
      <c r="B39" s="152">
        <f t="shared" si="4"/>
        <v>0</v>
      </c>
      <c r="C39" s="152" t="b">
        <v>0</v>
      </c>
      <c r="F39" s="365"/>
      <c r="G39" s="366"/>
      <c r="H39" s="28">
        <v>12.2</v>
      </c>
      <c r="I39" s="57" t="s">
        <v>178</v>
      </c>
      <c r="J39" s="58">
        <f t="shared" si="5"/>
        <v>1</v>
      </c>
      <c r="K39" s="59"/>
      <c r="L39" s="31" t="str">
        <f>IF(AND(K39&gt;0,$K$37&lt;&gt;$AD$8),"!","")</f>
        <v/>
      </c>
      <c r="M39" s="32" t="str">
        <f t="shared" si="6"/>
        <v/>
      </c>
      <c r="N39" s="32" t="str">
        <f t="shared" si="3"/>
        <v/>
      </c>
      <c r="O39" s="32"/>
      <c r="P39" s="32"/>
      <c r="Q39" s="192"/>
      <c r="R39" s="135"/>
      <c r="S39" s="231"/>
      <c r="T39" s="9"/>
      <c r="U39" s="255"/>
      <c r="V39" s="256"/>
      <c r="W39" s="256"/>
      <c r="X39" s="256"/>
      <c r="Y39" s="256"/>
    </row>
    <row r="40" spans="1:27" ht="45" customHeight="1">
      <c r="A40" s="152">
        <v>1</v>
      </c>
      <c r="B40" s="152">
        <f t="shared" si="4"/>
        <v>0</v>
      </c>
      <c r="C40" s="152" t="b">
        <v>0</v>
      </c>
      <c r="F40" s="365" t="s">
        <v>179</v>
      </c>
      <c r="G40" s="366" t="s">
        <v>180</v>
      </c>
      <c r="H40" s="28">
        <v>13.1</v>
      </c>
      <c r="I40" s="57" t="s">
        <v>181</v>
      </c>
      <c r="J40" s="58">
        <f t="shared" si="5"/>
        <v>1</v>
      </c>
      <c r="K40" s="59"/>
      <c r="L40" s="31"/>
      <c r="M40" s="32" t="str">
        <f t="shared" si="6"/>
        <v/>
      </c>
      <c r="N40" s="32" t="str">
        <f t="shared" si="3"/>
        <v/>
      </c>
      <c r="O40" s="32"/>
      <c r="P40" s="32"/>
      <c r="Q40" s="192"/>
      <c r="R40" s="135"/>
      <c r="S40" s="231"/>
      <c r="T40" s="9"/>
      <c r="U40" s="255"/>
      <c r="V40" s="256"/>
      <c r="W40" s="256"/>
      <c r="X40" s="256"/>
      <c r="Y40" s="256"/>
    </row>
    <row r="41" spans="1:27" ht="45" customHeight="1">
      <c r="A41" s="152">
        <v>1</v>
      </c>
      <c r="B41" s="152">
        <f t="shared" si="4"/>
        <v>0</v>
      </c>
      <c r="C41" s="152" t="b">
        <v>0</v>
      </c>
      <c r="F41" s="365"/>
      <c r="G41" s="366"/>
      <c r="H41" s="28">
        <v>13.2</v>
      </c>
      <c r="I41" s="57" t="s">
        <v>182</v>
      </c>
      <c r="J41" s="58">
        <f t="shared" si="5"/>
        <v>1</v>
      </c>
      <c r="K41" s="59"/>
      <c r="L41" s="31"/>
      <c r="M41" s="32" t="str">
        <f t="shared" si="6"/>
        <v/>
      </c>
      <c r="N41" s="32" t="str">
        <f t="shared" si="3"/>
        <v/>
      </c>
      <c r="O41" s="32"/>
      <c r="P41" s="32"/>
      <c r="Q41" s="192"/>
      <c r="R41" s="135"/>
      <c r="S41" s="231"/>
      <c r="T41" s="9"/>
      <c r="U41" s="255"/>
      <c r="V41" s="256"/>
      <c r="W41" s="256"/>
      <c r="X41" s="256"/>
      <c r="Y41" s="256"/>
    </row>
    <row r="42" spans="1:27" ht="45" customHeight="1">
      <c r="A42" s="152">
        <v>1</v>
      </c>
      <c r="B42" s="152">
        <f t="shared" si="4"/>
        <v>0</v>
      </c>
      <c r="C42" s="152" t="b">
        <v>0</v>
      </c>
      <c r="F42" s="365" t="s">
        <v>183</v>
      </c>
      <c r="G42" s="366" t="s">
        <v>374</v>
      </c>
      <c r="H42" s="28">
        <v>14.1</v>
      </c>
      <c r="I42" s="57" t="s">
        <v>183</v>
      </c>
      <c r="J42" s="58">
        <f t="shared" si="5"/>
        <v>1</v>
      </c>
      <c r="K42" s="59"/>
      <c r="L42" s="31"/>
      <c r="M42" s="32" t="str">
        <f t="shared" si="6"/>
        <v/>
      </c>
      <c r="N42" s="32" t="str">
        <f t="shared" si="3"/>
        <v/>
      </c>
      <c r="O42" s="32"/>
      <c r="P42" s="32"/>
      <c r="Q42" s="192"/>
      <c r="R42" s="135"/>
      <c r="S42" s="231"/>
      <c r="T42" s="9"/>
      <c r="U42" s="255"/>
      <c r="V42" s="256"/>
      <c r="W42" s="256"/>
      <c r="X42" s="256"/>
      <c r="Y42" s="256"/>
    </row>
    <row r="43" spans="1:27" ht="45" customHeight="1">
      <c r="A43" s="152">
        <v>1</v>
      </c>
      <c r="B43" s="152">
        <f t="shared" si="4"/>
        <v>0</v>
      </c>
      <c r="C43" s="152" t="b">
        <v>0</v>
      </c>
      <c r="F43" s="372"/>
      <c r="G43" s="362"/>
      <c r="H43" s="28">
        <v>14.2</v>
      </c>
      <c r="I43" s="57" t="s">
        <v>185</v>
      </c>
      <c r="J43" s="58">
        <f t="shared" si="5"/>
        <v>1</v>
      </c>
      <c r="K43" s="59"/>
      <c r="L43" s="31"/>
      <c r="M43" s="32" t="str">
        <f t="shared" si="6"/>
        <v/>
      </c>
      <c r="N43" s="32" t="str">
        <f t="shared" si="3"/>
        <v/>
      </c>
      <c r="O43" s="32"/>
      <c r="P43" s="32"/>
      <c r="Q43" s="192"/>
      <c r="R43" s="135"/>
      <c r="S43" s="231"/>
      <c r="T43" s="9"/>
      <c r="U43" s="255"/>
      <c r="V43" s="256"/>
      <c r="W43" s="256"/>
      <c r="X43" s="256"/>
      <c r="Y43" s="256"/>
    </row>
    <row r="44" spans="1:27" ht="45" customHeight="1">
      <c r="F44" s="44" t="s">
        <v>27</v>
      </c>
      <c r="G44" s="44"/>
      <c r="H44" s="45"/>
      <c r="I44" s="44"/>
      <c r="J44" s="45">
        <f>SUM(J27:J43)</f>
        <v>17</v>
      </c>
      <c r="K44" s="45">
        <f>SUM(K27:K43)</f>
        <v>0</v>
      </c>
      <c r="L44" s="31" t="str">
        <f>IF(K44&gt;J44,"!","")</f>
        <v/>
      </c>
      <c r="M44" s="46">
        <f t="shared" ref="M44:N44" si="7">SUM(M27:M43)</f>
        <v>0</v>
      </c>
      <c r="N44" s="46">
        <f t="shared" si="7"/>
        <v>0</v>
      </c>
      <c r="Q44" s="194"/>
      <c r="R44" s="33"/>
      <c r="S44" s="234"/>
      <c r="T44" s="9"/>
      <c r="U44" s="259"/>
      <c r="V44" s="260"/>
      <c r="W44" s="260"/>
      <c r="X44" s="260"/>
      <c r="Y44" s="260"/>
    </row>
    <row r="45" spans="1:27" ht="45" customHeight="1">
      <c r="F45" s="62"/>
      <c r="G45" s="62"/>
      <c r="H45" s="6"/>
      <c r="I45" s="62"/>
      <c r="J45" s="6"/>
      <c r="K45" s="6"/>
      <c r="L45" s="63"/>
      <c r="M45" s="6"/>
      <c r="N45" s="6"/>
      <c r="O45" s="6"/>
      <c r="P45" s="6"/>
      <c r="Q45" s="195"/>
      <c r="R45" s="33"/>
      <c r="S45" s="234"/>
      <c r="T45" s="9"/>
      <c r="U45" s="259"/>
      <c r="V45" s="260"/>
      <c r="W45" s="260"/>
      <c r="X45" s="260"/>
      <c r="Y45" s="260"/>
    </row>
    <row r="46" spans="1:27" ht="45" customHeight="1">
      <c r="F46" s="375" t="s">
        <v>186</v>
      </c>
      <c r="G46" s="375"/>
      <c r="H46" s="375"/>
      <c r="I46" s="375"/>
      <c r="J46" s="54">
        <f>22-SUM(B47:B63)</f>
        <v>22</v>
      </c>
      <c r="K46" s="54"/>
      <c r="L46" s="64"/>
      <c r="M46" s="156"/>
      <c r="N46" s="156"/>
      <c r="O46" s="156"/>
      <c r="P46" s="156"/>
      <c r="Q46" s="182"/>
      <c r="R46" s="174"/>
      <c r="S46" s="235"/>
      <c r="T46" s="65"/>
      <c r="U46" s="243"/>
      <c r="V46" s="235"/>
      <c r="W46" s="235"/>
      <c r="X46" s="235"/>
      <c r="Y46" s="235"/>
    </row>
    <row r="47" spans="1:27" ht="45" customHeight="1">
      <c r="F47" s="431" t="s">
        <v>187</v>
      </c>
      <c r="G47" s="426" t="s">
        <v>375</v>
      </c>
      <c r="H47" s="158" t="s">
        <v>376</v>
      </c>
      <c r="I47" s="112" t="s">
        <v>377</v>
      </c>
      <c r="J47" s="111" t="s">
        <v>370</v>
      </c>
      <c r="K47" s="90"/>
      <c r="L47" s="432"/>
      <c r="M47" s="32" t="str">
        <f>IF(OR(Q47=$AC$9,Q47=$AC$10),K47,"")</f>
        <v/>
      </c>
      <c r="N47" s="32" t="str">
        <f t="shared" ref="N47:N63" si="8">IF(Q47=$AC$11,K47,"")</f>
        <v/>
      </c>
      <c r="O47" s="32"/>
      <c r="P47" s="32"/>
      <c r="Q47" s="193"/>
      <c r="R47" s="135"/>
      <c r="S47" s="231"/>
      <c r="T47" s="9"/>
      <c r="U47" s="255"/>
      <c r="V47" s="256"/>
      <c r="W47" s="256"/>
      <c r="X47" s="256"/>
      <c r="Y47" s="256"/>
      <c r="AA47" s="11" t="s">
        <v>375</v>
      </c>
    </row>
    <row r="48" spans="1:27" ht="45" customHeight="1">
      <c r="F48" s="376"/>
      <c r="G48" s="427"/>
      <c r="H48" s="159" t="s">
        <v>378</v>
      </c>
      <c r="I48" s="114" t="s">
        <v>379</v>
      </c>
      <c r="J48" s="113">
        <f>IF($G$47=$AA$47,1,"-")</f>
        <v>1</v>
      </c>
      <c r="K48" s="69"/>
      <c r="L48" s="432"/>
      <c r="M48" s="32" t="str">
        <f t="shared" ref="M48:M63" si="9">IF(OR(Q48=$AC$9,Q48=$AC$10),K48,"")</f>
        <v/>
      </c>
      <c r="N48" s="32" t="str">
        <f t="shared" si="8"/>
        <v/>
      </c>
      <c r="O48" s="32"/>
      <c r="P48" s="32"/>
      <c r="Q48" s="192"/>
      <c r="R48" s="135"/>
      <c r="S48" s="231"/>
      <c r="T48" s="9"/>
      <c r="U48" s="255"/>
      <c r="V48" s="256"/>
      <c r="W48" s="256"/>
      <c r="X48" s="256"/>
      <c r="Y48" s="256"/>
      <c r="AA48" s="11" t="s">
        <v>380</v>
      </c>
    </row>
    <row r="49" spans="6:27" ht="45" customHeight="1">
      <c r="F49" s="376"/>
      <c r="G49" s="427"/>
      <c r="H49" s="159" t="s">
        <v>381</v>
      </c>
      <c r="I49" s="114" t="s">
        <v>382</v>
      </c>
      <c r="J49" s="113">
        <f t="shared" ref="J49:J52" si="10">IF($G$47=$AA$47,1,"-")</f>
        <v>1</v>
      </c>
      <c r="K49" s="69"/>
      <c r="L49" s="432"/>
      <c r="M49" s="32" t="str">
        <f t="shared" si="9"/>
        <v/>
      </c>
      <c r="N49" s="32" t="str">
        <f t="shared" si="8"/>
        <v/>
      </c>
      <c r="O49" s="32"/>
      <c r="P49" s="32"/>
      <c r="Q49" s="192"/>
      <c r="R49" s="135"/>
      <c r="S49" s="231"/>
      <c r="T49" s="9"/>
      <c r="U49" s="255"/>
      <c r="V49" s="256"/>
      <c r="W49" s="256"/>
      <c r="X49" s="256"/>
      <c r="Y49" s="256"/>
      <c r="AA49" s="11" t="s">
        <v>383</v>
      </c>
    </row>
    <row r="50" spans="6:27" ht="45" customHeight="1">
      <c r="F50" s="376"/>
      <c r="G50" s="427"/>
      <c r="H50" s="159" t="s">
        <v>384</v>
      </c>
      <c r="I50" s="114" t="s">
        <v>385</v>
      </c>
      <c r="J50" s="113">
        <f t="shared" si="10"/>
        <v>1</v>
      </c>
      <c r="K50" s="69"/>
      <c r="L50" s="432"/>
      <c r="M50" s="32" t="str">
        <f t="shared" si="9"/>
        <v/>
      </c>
      <c r="N50" s="32" t="str">
        <f t="shared" si="8"/>
        <v/>
      </c>
      <c r="O50" s="32"/>
      <c r="P50" s="32"/>
      <c r="Q50" s="192"/>
      <c r="R50" s="135"/>
      <c r="S50" s="231"/>
      <c r="T50" s="9"/>
      <c r="U50" s="255"/>
      <c r="V50" s="256"/>
      <c r="W50" s="256"/>
      <c r="X50" s="256"/>
      <c r="Y50" s="256"/>
      <c r="AA50" s="11" t="s">
        <v>386</v>
      </c>
    </row>
    <row r="51" spans="6:27" ht="45" customHeight="1">
      <c r="F51" s="376"/>
      <c r="G51" s="427"/>
      <c r="H51" s="159" t="s">
        <v>387</v>
      </c>
      <c r="I51" s="168" t="s">
        <v>388</v>
      </c>
      <c r="J51" s="113">
        <f t="shared" si="10"/>
        <v>1</v>
      </c>
      <c r="K51" s="69"/>
      <c r="L51" s="432"/>
      <c r="M51" s="32" t="str">
        <f t="shared" si="9"/>
        <v/>
      </c>
      <c r="N51" s="32" t="str">
        <f t="shared" si="8"/>
        <v/>
      </c>
      <c r="O51" s="32"/>
      <c r="P51" s="32"/>
      <c r="Q51" s="192"/>
      <c r="R51" s="135"/>
      <c r="S51" s="231"/>
      <c r="T51" s="9"/>
      <c r="U51" s="255"/>
      <c r="V51" s="256"/>
      <c r="W51" s="256"/>
      <c r="X51" s="256"/>
      <c r="Y51" s="256"/>
      <c r="AA51" s="11" t="s">
        <v>389</v>
      </c>
    </row>
    <row r="52" spans="6:27" ht="45" customHeight="1">
      <c r="F52" s="376"/>
      <c r="G52" s="427"/>
      <c r="H52" s="159" t="s">
        <v>390</v>
      </c>
      <c r="I52" s="114" t="s">
        <v>391</v>
      </c>
      <c r="J52" s="113">
        <f t="shared" si="10"/>
        <v>1</v>
      </c>
      <c r="K52" s="69"/>
      <c r="L52" s="432"/>
      <c r="M52" s="32" t="str">
        <f t="shared" si="9"/>
        <v/>
      </c>
      <c r="N52" s="32" t="str">
        <f t="shared" si="8"/>
        <v/>
      </c>
      <c r="O52" s="32"/>
      <c r="P52" s="32"/>
      <c r="Q52" s="192"/>
      <c r="R52" s="135"/>
      <c r="S52" s="231"/>
      <c r="T52" s="9"/>
      <c r="U52" s="255"/>
      <c r="V52" s="256"/>
      <c r="W52" s="256"/>
      <c r="X52" s="256"/>
      <c r="Y52" s="256"/>
    </row>
    <row r="53" spans="6:27" ht="45" customHeight="1">
      <c r="F53" s="376"/>
      <c r="G53" s="427"/>
      <c r="H53" s="159" t="s">
        <v>392</v>
      </c>
      <c r="I53" s="168" t="s">
        <v>393</v>
      </c>
      <c r="J53" s="113">
        <f>IF($G$47=$AA$47,5,"-")</f>
        <v>5</v>
      </c>
      <c r="K53" s="69"/>
      <c r="L53" s="432"/>
      <c r="M53" s="32" t="str">
        <f t="shared" si="9"/>
        <v/>
      </c>
      <c r="N53" s="32" t="str">
        <f t="shared" si="8"/>
        <v/>
      </c>
      <c r="O53" s="32"/>
      <c r="P53" s="32"/>
      <c r="Q53" s="192"/>
      <c r="R53" s="135"/>
      <c r="S53" s="231"/>
      <c r="T53" s="9"/>
      <c r="U53" s="255"/>
      <c r="V53" s="256"/>
      <c r="W53" s="256"/>
      <c r="X53" s="256"/>
      <c r="Y53" s="256"/>
    </row>
    <row r="54" spans="6:27" ht="45" customHeight="1">
      <c r="F54" s="376"/>
      <c r="G54" s="427"/>
      <c r="H54" s="159" t="s">
        <v>394</v>
      </c>
      <c r="I54" s="114" t="s">
        <v>395</v>
      </c>
      <c r="J54" s="113" t="s">
        <v>370</v>
      </c>
      <c r="K54" s="87"/>
      <c r="L54" s="31"/>
      <c r="M54" s="32" t="str">
        <f t="shared" si="9"/>
        <v/>
      </c>
      <c r="N54" s="32" t="str">
        <f t="shared" si="8"/>
        <v/>
      </c>
      <c r="O54" s="32"/>
      <c r="P54" s="32"/>
      <c r="Q54" s="192"/>
      <c r="R54" s="135"/>
      <c r="S54" s="231"/>
      <c r="T54" s="9"/>
      <c r="U54" s="255"/>
      <c r="V54" s="256"/>
      <c r="W54" s="256"/>
      <c r="X54" s="256"/>
      <c r="Y54" s="256"/>
    </row>
    <row r="55" spans="6:27" ht="45" customHeight="1">
      <c r="F55" s="376"/>
      <c r="G55" s="427"/>
      <c r="H55" s="159" t="s">
        <v>396</v>
      </c>
      <c r="I55" s="114" t="s">
        <v>397</v>
      </c>
      <c r="J55" s="113" t="str">
        <f>IF(G47=AA48,16,"-")</f>
        <v>-</v>
      </c>
      <c r="K55" s="87"/>
      <c r="L55" s="31" t="str">
        <f>IF(AND(K55&gt;0,$K$54&lt;&gt;$AD$8),"!","")</f>
        <v/>
      </c>
      <c r="M55" s="32" t="str">
        <f t="shared" si="9"/>
        <v/>
      </c>
      <c r="N55" s="32" t="str">
        <f t="shared" si="8"/>
        <v/>
      </c>
      <c r="O55" s="32"/>
      <c r="P55" s="32"/>
      <c r="Q55" s="192"/>
      <c r="R55" s="135"/>
      <c r="S55" s="231"/>
      <c r="T55" s="9"/>
      <c r="U55" s="255"/>
      <c r="V55" s="256"/>
      <c r="W55" s="256"/>
      <c r="X55" s="256"/>
      <c r="Y55" s="256"/>
    </row>
    <row r="56" spans="6:27" ht="45" customHeight="1">
      <c r="F56" s="376"/>
      <c r="G56" s="427"/>
      <c r="H56" s="159" t="s">
        <v>398</v>
      </c>
      <c r="I56" s="168" t="s">
        <v>399</v>
      </c>
      <c r="J56" s="113" t="s">
        <v>370</v>
      </c>
      <c r="K56" s="87"/>
      <c r="L56" s="31"/>
      <c r="M56" s="32" t="str">
        <f t="shared" si="9"/>
        <v/>
      </c>
      <c r="N56" s="32" t="str">
        <f t="shared" si="8"/>
        <v/>
      </c>
      <c r="O56" s="32"/>
      <c r="P56" s="32"/>
      <c r="Q56" s="192"/>
      <c r="R56" s="135"/>
      <c r="S56" s="231"/>
      <c r="T56" s="9"/>
      <c r="U56" s="255"/>
      <c r="V56" s="256"/>
      <c r="W56" s="256"/>
      <c r="X56" s="256"/>
      <c r="Y56" s="256"/>
    </row>
    <row r="57" spans="6:27" ht="45" customHeight="1">
      <c r="F57" s="376"/>
      <c r="G57" s="427"/>
      <c r="H57" s="159" t="s">
        <v>400</v>
      </c>
      <c r="I57" s="168" t="s">
        <v>401</v>
      </c>
      <c r="J57" s="113" t="str">
        <f>IF(G47=AA49,16,"-")</f>
        <v>-</v>
      </c>
      <c r="K57" s="87"/>
      <c r="L57" s="31" t="str">
        <f>IF(AND(K57&gt;0,$K$56&lt;&gt;$AD$8),"!","")</f>
        <v/>
      </c>
      <c r="M57" s="32" t="str">
        <f t="shared" si="9"/>
        <v/>
      </c>
      <c r="N57" s="32" t="str">
        <f t="shared" si="8"/>
        <v/>
      </c>
      <c r="O57" s="32"/>
      <c r="P57" s="32"/>
      <c r="Q57" s="192"/>
      <c r="R57" s="135"/>
      <c r="S57" s="231"/>
      <c r="T57" s="9"/>
      <c r="U57" s="255"/>
      <c r="V57" s="256"/>
      <c r="W57" s="256"/>
      <c r="X57" s="256"/>
      <c r="Y57" s="256"/>
    </row>
    <row r="58" spans="6:27" ht="45" customHeight="1">
      <c r="F58" s="376"/>
      <c r="G58" s="427"/>
      <c r="H58" s="159" t="s">
        <v>402</v>
      </c>
      <c r="I58" s="168" t="s">
        <v>403</v>
      </c>
      <c r="J58" s="113" t="s">
        <v>370</v>
      </c>
      <c r="K58" s="87"/>
      <c r="L58" s="31"/>
      <c r="M58" s="32" t="str">
        <f t="shared" si="9"/>
        <v/>
      </c>
      <c r="N58" s="32" t="str">
        <f t="shared" si="8"/>
        <v/>
      </c>
      <c r="O58" s="32"/>
      <c r="P58" s="32"/>
      <c r="Q58" s="192"/>
      <c r="R58" s="135"/>
      <c r="S58" s="231"/>
      <c r="T58" s="9"/>
      <c r="U58" s="255"/>
      <c r="V58" s="256"/>
      <c r="W58" s="256"/>
      <c r="X58" s="256"/>
      <c r="Y58" s="256"/>
    </row>
    <row r="59" spans="6:27" ht="45" customHeight="1">
      <c r="F59" s="376"/>
      <c r="G59" s="427"/>
      <c r="H59" s="159" t="s">
        <v>404</v>
      </c>
      <c r="I59" s="168" t="s">
        <v>405</v>
      </c>
      <c r="J59" s="113" t="str">
        <f>IF(G47=AA50,20,"-")</f>
        <v>-</v>
      </c>
      <c r="K59" s="87"/>
      <c r="L59" s="31" t="str">
        <f>IF(AND(K59&gt;0,$K$58&lt;&gt;$AD$8),"!","")</f>
        <v/>
      </c>
      <c r="M59" s="32" t="str">
        <f t="shared" si="9"/>
        <v/>
      </c>
      <c r="N59" s="32" t="str">
        <f t="shared" si="8"/>
        <v/>
      </c>
      <c r="O59" s="32"/>
      <c r="P59" s="32"/>
      <c r="Q59" s="192"/>
      <c r="R59" s="135"/>
      <c r="S59" s="231"/>
      <c r="T59" s="9"/>
      <c r="U59" s="255"/>
      <c r="V59" s="256"/>
      <c r="W59" s="256"/>
      <c r="X59" s="256"/>
      <c r="Y59" s="256"/>
    </row>
    <row r="60" spans="6:27" ht="45" customHeight="1">
      <c r="F60" s="376"/>
      <c r="G60" s="427"/>
      <c r="H60" s="159" t="s">
        <v>322</v>
      </c>
      <c r="I60" s="189" t="s">
        <v>323</v>
      </c>
      <c r="J60" s="159" t="s">
        <v>370</v>
      </c>
      <c r="K60" s="87"/>
      <c r="L60" s="31"/>
      <c r="M60" s="32" t="str">
        <f t="shared" si="9"/>
        <v/>
      </c>
      <c r="N60" s="32" t="str">
        <f t="shared" si="8"/>
        <v/>
      </c>
      <c r="O60" s="32"/>
      <c r="P60" s="32"/>
      <c r="Q60" s="192"/>
      <c r="R60" s="135"/>
      <c r="S60" s="231"/>
      <c r="T60" s="9"/>
      <c r="U60" s="255"/>
      <c r="V60" s="256"/>
      <c r="W60" s="256"/>
      <c r="X60" s="256"/>
      <c r="Y60" s="256"/>
    </row>
    <row r="61" spans="6:27" ht="45" customHeight="1">
      <c r="F61" s="377"/>
      <c r="G61" s="428"/>
      <c r="H61" s="159" t="s">
        <v>324</v>
      </c>
      <c r="I61" s="168" t="s">
        <v>406</v>
      </c>
      <c r="J61" s="113" t="str">
        <f>IF(G47=AA51,20,"-")</f>
        <v>-</v>
      </c>
      <c r="K61" s="87"/>
      <c r="L61" s="31" t="str">
        <f>IF(AND(K61&gt;0,K60&lt;&gt;$AD$8),"!","")</f>
        <v/>
      </c>
      <c r="M61" s="32" t="str">
        <f t="shared" si="9"/>
        <v/>
      </c>
      <c r="N61" s="32" t="str">
        <f t="shared" si="8"/>
        <v/>
      </c>
      <c r="O61" s="32"/>
      <c r="P61" s="32"/>
      <c r="Q61" s="192"/>
      <c r="R61" s="135"/>
      <c r="S61" s="231"/>
      <c r="T61" s="9"/>
      <c r="U61" s="255"/>
      <c r="V61" s="256"/>
      <c r="W61" s="256"/>
      <c r="X61" s="256"/>
      <c r="Y61" s="256"/>
    </row>
    <row r="62" spans="6:27" ht="45" customHeight="1">
      <c r="F62" s="365" t="s">
        <v>191</v>
      </c>
      <c r="G62" s="373" t="s">
        <v>119</v>
      </c>
      <c r="H62" s="160" t="s">
        <v>192</v>
      </c>
      <c r="I62" s="169" t="s">
        <v>407</v>
      </c>
      <c r="J62" s="109">
        <f>IF(G62=AA62,1,"-")</f>
        <v>1</v>
      </c>
      <c r="K62" s="87"/>
      <c r="L62" s="24"/>
      <c r="M62" s="32" t="str">
        <f t="shared" si="9"/>
        <v/>
      </c>
      <c r="N62" s="32" t="str">
        <f t="shared" si="8"/>
        <v/>
      </c>
      <c r="O62" s="32"/>
      <c r="P62" s="32"/>
      <c r="Q62" s="192"/>
      <c r="R62" s="135"/>
      <c r="S62" s="231"/>
      <c r="U62" s="255"/>
      <c r="V62" s="256"/>
      <c r="W62" s="256"/>
      <c r="X62" s="256"/>
      <c r="Y62" s="256"/>
      <c r="AA62" s="9" t="s">
        <v>119</v>
      </c>
    </row>
    <row r="63" spans="6:27" ht="45" customHeight="1">
      <c r="F63" s="372"/>
      <c r="G63" s="374"/>
      <c r="H63" s="161" t="s">
        <v>194</v>
      </c>
      <c r="I63" s="170" t="s">
        <v>408</v>
      </c>
      <c r="J63" s="110" t="str">
        <f>IF(G62=AA63,2,"-")</f>
        <v>-</v>
      </c>
      <c r="K63" s="94"/>
      <c r="L63" s="67"/>
      <c r="M63" s="32" t="str">
        <f t="shared" si="9"/>
        <v/>
      </c>
      <c r="N63" s="32" t="str">
        <f t="shared" si="8"/>
        <v/>
      </c>
      <c r="O63" s="32"/>
      <c r="P63" s="32"/>
      <c r="Q63" s="192"/>
      <c r="R63" s="135"/>
      <c r="S63" s="231"/>
      <c r="U63" s="255"/>
      <c r="V63" s="256"/>
      <c r="W63" s="256"/>
      <c r="X63" s="256"/>
      <c r="Y63" s="256"/>
      <c r="AA63" s="11" t="s">
        <v>116</v>
      </c>
    </row>
    <row r="64" spans="6:27" ht="45" customHeight="1">
      <c r="F64" s="44" t="s">
        <v>27</v>
      </c>
      <c r="G64" s="44"/>
      <c r="H64" s="45"/>
      <c r="I64" s="44"/>
      <c r="J64" s="45">
        <f>IF(G47=AA47,10+SUM(J62:J63),SUM(J47:J63))</f>
        <v>11</v>
      </c>
      <c r="K64" s="45">
        <f>SUM(K47:K63)</f>
        <v>0</v>
      </c>
      <c r="L64" s="31" t="str">
        <f>IF(K64&gt;J64,"!","")</f>
        <v/>
      </c>
      <c r="M64" s="46">
        <f>SUM(M47:M63)</f>
        <v>0</v>
      </c>
      <c r="N64" s="46">
        <f>SUM(N47:N63)</f>
        <v>0</v>
      </c>
      <c r="Q64" s="194"/>
      <c r="R64" s="33"/>
      <c r="S64" s="234"/>
      <c r="T64" s="9"/>
      <c r="U64" s="259"/>
      <c r="V64" s="260"/>
      <c r="W64" s="260"/>
      <c r="X64" s="260"/>
      <c r="Y64" s="260"/>
    </row>
    <row r="65" spans="2:27" ht="45" customHeight="1">
      <c r="L65" s="71"/>
      <c r="Q65" s="194"/>
      <c r="T65" s="9"/>
      <c r="U65" s="257"/>
      <c r="V65" s="258"/>
      <c r="W65" s="258"/>
      <c r="X65" s="258"/>
      <c r="Y65" s="258"/>
    </row>
    <row r="66" spans="2:27" ht="45" customHeight="1">
      <c r="F66" s="266" t="s">
        <v>196</v>
      </c>
      <c r="G66" s="72"/>
      <c r="H66" s="73"/>
      <c r="I66" s="72"/>
      <c r="J66" s="54">
        <f>10-SUM(B67:B72)</f>
        <v>10</v>
      </c>
      <c r="K66" s="54"/>
      <c r="L66" s="24"/>
      <c r="M66" s="165"/>
      <c r="N66" s="165"/>
      <c r="O66" s="165"/>
      <c r="P66" s="165"/>
      <c r="Q66" s="182"/>
      <c r="R66" s="33"/>
      <c r="S66" s="233"/>
      <c r="T66" s="65"/>
      <c r="U66" s="243"/>
      <c r="V66" s="233"/>
      <c r="W66" s="233"/>
      <c r="X66" s="233"/>
      <c r="Y66" s="233"/>
    </row>
    <row r="67" spans="2:27" ht="45" customHeight="1">
      <c r="F67" s="431" t="s">
        <v>197</v>
      </c>
      <c r="G67" s="427" t="s">
        <v>116</v>
      </c>
      <c r="H67" s="74" t="s">
        <v>409</v>
      </c>
      <c r="I67" s="75" t="s">
        <v>116</v>
      </c>
      <c r="J67" s="76">
        <f>IF(G67=AA67,10,0)</f>
        <v>10</v>
      </c>
      <c r="K67" s="66"/>
      <c r="L67" s="67"/>
      <c r="M67" s="32" t="str">
        <f>IF(OR(Q67=$AC$9,Q67=$AC$10),K67,"")</f>
        <v/>
      </c>
      <c r="N67" s="32" t="str">
        <f t="shared" ref="N67:N72" si="11">IF(Q67=$AC$11,K67,"")</f>
        <v/>
      </c>
      <c r="O67" s="32"/>
      <c r="P67" s="32"/>
      <c r="Q67" s="193"/>
      <c r="R67" s="135"/>
      <c r="S67" s="231"/>
      <c r="U67" s="255"/>
      <c r="V67" s="256"/>
      <c r="W67" s="256"/>
      <c r="X67" s="256"/>
      <c r="Y67" s="256"/>
      <c r="AA67" s="9" t="s">
        <v>116</v>
      </c>
    </row>
    <row r="68" spans="2:27" ht="45" customHeight="1">
      <c r="F68" s="376"/>
      <c r="G68" s="427"/>
      <c r="H68" s="77" t="s">
        <v>201</v>
      </c>
      <c r="I68" s="78" t="s">
        <v>202</v>
      </c>
      <c r="J68" s="79">
        <f>IF($G$67=$AA$68,3,0)</f>
        <v>0</v>
      </c>
      <c r="K68" s="68"/>
      <c r="L68" s="67"/>
      <c r="M68" s="32" t="str">
        <f t="shared" ref="M68:M72" si="12">IF(OR(Q68=$AC$9,Q68=$AC$10),K68,"")</f>
        <v/>
      </c>
      <c r="N68" s="32" t="str">
        <f t="shared" si="11"/>
        <v/>
      </c>
      <c r="O68" s="32"/>
      <c r="P68" s="32"/>
      <c r="Q68" s="192"/>
      <c r="R68" s="135"/>
      <c r="S68" s="231"/>
      <c r="U68" s="255"/>
      <c r="V68" s="256"/>
      <c r="W68" s="256"/>
      <c r="X68" s="256"/>
      <c r="Y68" s="256"/>
      <c r="AA68" s="9" t="s">
        <v>119</v>
      </c>
    </row>
    <row r="69" spans="2:27" ht="45" customHeight="1">
      <c r="B69" s="152">
        <f>IF(AND($G$67=$AA$68,C69=TRUE),1,0)</f>
        <v>0</v>
      </c>
      <c r="C69" s="152" t="b">
        <v>0</v>
      </c>
      <c r="F69" s="376"/>
      <c r="G69" s="427"/>
      <c r="H69" s="77" t="s">
        <v>204</v>
      </c>
      <c r="I69" s="134" t="s">
        <v>205</v>
      </c>
      <c r="J69" s="79">
        <f>IF(OR($G$67=$AA$67,C69=TRUE),0,1)</f>
        <v>0</v>
      </c>
      <c r="K69" s="68"/>
      <c r="L69" s="67"/>
      <c r="M69" s="32" t="str">
        <f t="shared" si="12"/>
        <v/>
      </c>
      <c r="N69" s="32" t="str">
        <f t="shared" si="11"/>
        <v/>
      </c>
      <c r="O69" s="32"/>
      <c r="P69" s="32"/>
      <c r="Q69" s="192"/>
      <c r="R69" s="135"/>
      <c r="S69" s="231"/>
      <c r="T69" s="9"/>
      <c r="U69" s="255"/>
      <c r="V69" s="256"/>
      <c r="W69" s="256"/>
      <c r="X69" s="256"/>
      <c r="Y69" s="256"/>
    </row>
    <row r="70" spans="2:27" ht="45" customHeight="1">
      <c r="B70" s="152">
        <f>IF(AND($G$67=$AA$68,C70=TRUE),1,0)</f>
        <v>0</v>
      </c>
      <c r="C70" s="152" t="b">
        <v>0</v>
      </c>
      <c r="F70" s="376"/>
      <c r="G70" s="427"/>
      <c r="H70" s="77" t="s">
        <v>206</v>
      </c>
      <c r="I70" s="134" t="s">
        <v>207</v>
      </c>
      <c r="J70" s="79">
        <f>IF(OR($G$67=$AA$67,C70=TRUE),0,1)</f>
        <v>0</v>
      </c>
      <c r="K70" s="68"/>
      <c r="L70" s="67"/>
      <c r="M70" s="32" t="str">
        <f t="shared" si="12"/>
        <v/>
      </c>
      <c r="N70" s="32" t="str">
        <f t="shared" si="11"/>
        <v/>
      </c>
      <c r="O70" s="32"/>
      <c r="P70" s="32"/>
      <c r="Q70" s="192"/>
      <c r="R70" s="135"/>
      <c r="S70" s="231"/>
      <c r="T70" s="9"/>
      <c r="U70" s="255"/>
      <c r="V70" s="256"/>
      <c r="W70" s="256"/>
      <c r="X70" s="256"/>
      <c r="Y70" s="256"/>
    </row>
    <row r="71" spans="2:27" ht="45" customHeight="1">
      <c r="F71" s="376"/>
      <c r="G71" s="427"/>
      <c r="H71" s="77" t="s">
        <v>208</v>
      </c>
      <c r="I71" s="78" t="s">
        <v>209</v>
      </c>
      <c r="J71" s="79">
        <f>IF($G$67=$AA$68,1,0)</f>
        <v>0</v>
      </c>
      <c r="K71" s="68"/>
      <c r="L71" s="67"/>
      <c r="M71" s="32" t="str">
        <f t="shared" si="12"/>
        <v/>
      </c>
      <c r="N71" s="32" t="str">
        <f t="shared" si="11"/>
        <v/>
      </c>
      <c r="O71" s="32"/>
      <c r="P71" s="32"/>
      <c r="Q71" s="192"/>
      <c r="R71" s="135"/>
      <c r="S71" s="231"/>
      <c r="T71" s="9"/>
      <c r="U71" s="255"/>
      <c r="V71" s="256"/>
      <c r="W71" s="256"/>
      <c r="X71" s="256"/>
      <c r="Y71" s="256"/>
    </row>
    <row r="72" spans="2:27" ht="45" customHeight="1">
      <c r="F72" s="377"/>
      <c r="G72" s="427"/>
      <c r="H72" s="80" t="s">
        <v>210</v>
      </c>
      <c r="I72" s="81" t="s">
        <v>211</v>
      </c>
      <c r="J72" s="82">
        <f>IF($G$67=$AA$68,1,0)</f>
        <v>0</v>
      </c>
      <c r="K72" s="70"/>
      <c r="L72" s="67"/>
      <c r="M72" s="32" t="str">
        <f t="shared" si="12"/>
        <v/>
      </c>
      <c r="N72" s="32" t="str">
        <f t="shared" si="11"/>
        <v/>
      </c>
      <c r="O72" s="32"/>
      <c r="P72" s="32"/>
      <c r="Q72" s="192"/>
      <c r="R72" s="135"/>
      <c r="S72" s="231"/>
      <c r="T72" s="9"/>
      <c r="U72" s="255"/>
      <c r="V72" s="256"/>
      <c r="W72" s="256"/>
      <c r="X72" s="256"/>
      <c r="Y72" s="256"/>
    </row>
    <row r="73" spans="2:27" ht="45" customHeight="1">
      <c r="F73" s="44" t="s">
        <v>27</v>
      </c>
      <c r="G73" s="44"/>
      <c r="H73" s="45"/>
      <c r="I73" s="44"/>
      <c r="J73" s="45">
        <f>SUM(J67:J72)</f>
        <v>10</v>
      </c>
      <c r="K73" s="45">
        <f>SUM(K67:K72)</f>
        <v>0</v>
      </c>
      <c r="L73" s="31" t="str">
        <f>IF(K73&gt;J73,"!","")</f>
        <v/>
      </c>
      <c r="M73" s="46">
        <f t="shared" ref="M73:N73" si="13">SUM(M67:M72)</f>
        <v>0</v>
      </c>
      <c r="N73" s="46">
        <f t="shared" si="13"/>
        <v>0</v>
      </c>
      <c r="Q73" s="194"/>
      <c r="R73" s="33"/>
      <c r="S73" s="234"/>
      <c r="T73" s="9"/>
      <c r="U73" s="259"/>
      <c r="V73" s="260"/>
      <c r="W73" s="260"/>
      <c r="X73" s="260"/>
      <c r="Y73" s="260"/>
    </row>
    <row r="74" spans="2:27" ht="45" customHeight="1">
      <c r="L74" s="71"/>
      <c r="Q74" s="194"/>
      <c r="U74" s="257"/>
      <c r="V74" s="258"/>
      <c r="W74" s="258"/>
      <c r="X74" s="258"/>
      <c r="Y74" s="258"/>
    </row>
    <row r="75" spans="2:27" ht="45" customHeight="1">
      <c r="F75" s="266" t="s">
        <v>212</v>
      </c>
      <c r="G75" s="72"/>
      <c r="H75" s="73"/>
      <c r="I75" s="72"/>
      <c r="J75" s="54">
        <f>12-SUM(B76:B81)</f>
        <v>12</v>
      </c>
      <c r="K75" s="54"/>
      <c r="L75" s="24"/>
      <c r="M75" s="165"/>
      <c r="N75" s="165"/>
      <c r="O75" s="165"/>
      <c r="P75" s="165"/>
      <c r="Q75" s="182"/>
      <c r="R75" s="33"/>
      <c r="S75" s="233"/>
      <c r="T75" s="65"/>
      <c r="U75" s="243"/>
      <c r="V75" s="233"/>
      <c r="W75" s="233"/>
      <c r="X75" s="233"/>
      <c r="Y75" s="233"/>
    </row>
    <row r="76" spans="2:27" ht="45" customHeight="1">
      <c r="F76" s="383" t="s">
        <v>213</v>
      </c>
      <c r="G76" s="427" t="s">
        <v>116</v>
      </c>
      <c r="H76" s="74" t="s">
        <v>327</v>
      </c>
      <c r="I76" s="75" t="s">
        <v>215</v>
      </c>
      <c r="J76" s="76">
        <f>IF(G76=AA76,12,0)</f>
        <v>12</v>
      </c>
      <c r="K76" s="83"/>
      <c r="L76" s="67"/>
      <c r="M76" s="32" t="str">
        <f>IF(OR(Q76=$AC$9,Q76=$AC$10),K76,"")</f>
        <v/>
      </c>
      <c r="N76" s="32" t="str">
        <f t="shared" ref="N76:N81" si="14">IF(Q76=$AC$11,K76,"")</f>
        <v/>
      </c>
      <c r="O76" s="32"/>
      <c r="P76" s="32"/>
      <c r="Q76" s="193"/>
      <c r="R76" s="33"/>
      <c r="S76" s="231"/>
      <c r="T76" s="9"/>
      <c r="U76" s="255"/>
      <c r="V76" s="256"/>
      <c r="W76" s="256"/>
      <c r="X76" s="256"/>
      <c r="Y76" s="256"/>
      <c r="AA76" s="9" t="s">
        <v>116</v>
      </c>
    </row>
    <row r="77" spans="2:27" ht="45" customHeight="1">
      <c r="F77" s="365"/>
      <c r="G77" s="427"/>
      <c r="H77" s="77" t="s">
        <v>216</v>
      </c>
      <c r="I77" s="78" t="s">
        <v>217</v>
      </c>
      <c r="J77" s="79">
        <f>IF($G$76=$AA$77,1,0)</f>
        <v>0</v>
      </c>
      <c r="K77" s="84"/>
      <c r="L77" s="67"/>
      <c r="M77" s="32" t="str">
        <f t="shared" ref="M77:M81" si="15">IF(OR(Q77=$AC$9,Q77=$AC$10),K77,"")</f>
        <v/>
      </c>
      <c r="N77" s="32" t="str">
        <f t="shared" si="14"/>
        <v/>
      </c>
      <c r="O77" s="32"/>
      <c r="P77" s="32"/>
      <c r="Q77" s="192"/>
      <c r="R77" s="33"/>
      <c r="S77" s="231"/>
      <c r="T77" s="9"/>
      <c r="U77" s="255"/>
      <c r="V77" s="256"/>
      <c r="W77" s="256"/>
      <c r="X77" s="256"/>
      <c r="Y77" s="256"/>
      <c r="AA77" s="9" t="s">
        <v>119</v>
      </c>
    </row>
    <row r="78" spans="2:27" ht="45" customHeight="1">
      <c r="F78" s="365"/>
      <c r="G78" s="427"/>
      <c r="H78" s="77" t="s">
        <v>218</v>
      </c>
      <c r="I78" s="78" t="s">
        <v>219</v>
      </c>
      <c r="J78" s="79">
        <f t="shared" ref="J78" si="16">IF($G$76=$AA$77,1,0)</f>
        <v>0</v>
      </c>
      <c r="K78" s="84"/>
      <c r="L78" s="67"/>
      <c r="M78" s="32" t="str">
        <f t="shared" si="15"/>
        <v/>
      </c>
      <c r="N78" s="32" t="str">
        <f t="shared" si="14"/>
        <v/>
      </c>
      <c r="O78" s="32"/>
      <c r="P78" s="32"/>
      <c r="Q78" s="192"/>
      <c r="R78" s="33"/>
      <c r="S78" s="231"/>
      <c r="T78" s="9"/>
      <c r="U78" s="255"/>
      <c r="V78" s="256"/>
      <c r="W78" s="256"/>
      <c r="X78" s="256"/>
      <c r="Y78" s="256"/>
    </row>
    <row r="79" spans="2:27" ht="45" customHeight="1">
      <c r="F79" s="365"/>
      <c r="G79" s="427"/>
      <c r="H79" s="77" t="s">
        <v>220</v>
      </c>
      <c r="I79" s="78" t="s">
        <v>221</v>
      </c>
      <c r="J79" s="79">
        <f>IF($G$76=$AA$77,2,0)</f>
        <v>0</v>
      </c>
      <c r="K79" s="84"/>
      <c r="L79" s="67"/>
      <c r="M79" s="32" t="str">
        <f t="shared" si="15"/>
        <v/>
      </c>
      <c r="N79" s="32" t="str">
        <f t="shared" si="14"/>
        <v/>
      </c>
      <c r="O79" s="32"/>
      <c r="P79" s="32"/>
      <c r="Q79" s="192"/>
      <c r="R79" s="33"/>
      <c r="S79" s="231"/>
      <c r="T79" s="9"/>
      <c r="U79" s="255"/>
      <c r="V79" s="256"/>
      <c r="W79" s="256"/>
      <c r="X79" s="256"/>
      <c r="Y79" s="256"/>
    </row>
    <row r="80" spans="2:27" ht="45" customHeight="1">
      <c r="B80" s="152">
        <f>IF(AND($G$76=$AA$77,C80=TRUE),1,0)</f>
        <v>0</v>
      </c>
      <c r="C80" s="152" t="b">
        <v>0</v>
      </c>
      <c r="F80" s="365"/>
      <c r="G80" s="427"/>
      <c r="H80" s="77" t="s">
        <v>222</v>
      </c>
      <c r="I80" s="134" t="s">
        <v>223</v>
      </c>
      <c r="J80" s="79">
        <f>IF(OR($G$76=$AA$76,C80=TRUE),0,1)</f>
        <v>0</v>
      </c>
      <c r="K80" s="84"/>
      <c r="L80" s="67"/>
      <c r="M80" s="32" t="str">
        <f t="shared" si="15"/>
        <v/>
      </c>
      <c r="N80" s="32" t="str">
        <f t="shared" si="14"/>
        <v/>
      </c>
      <c r="O80" s="32"/>
      <c r="P80" s="32"/>
      <c r="Q80" s="192"/>
      <c r="R80" s="33"/>
      <c r="S80" s="231"/>
      <c r="T80" s="9"/>
      <c r="U80" s="255"/>
      <c r="V80" s="256"/>
      <c r="W80" s="256"/>
      <c r="X80" s="256"/>
      <c r="Y80" s="256"/>
    </row>
    <row r="81" spans="1:27" ht="45" customHeight="1">
      <c r="B81" s="152">
        <f>IF(AND($G$76=$AA$77,C81=TRUE),1,0)</f>
        <v>0</v>
      </c>
      <c r="C81" s="152" t="b">
        <v>0</v>
      </c>
      <c r="F81" s="372"/>
      <c r="G81" s="427"/>
      <c r="H81" s="80" t="s">
        <v>224</v>
      </c>
      <c r="I81" s="134" t="s">
        <v>225</v>
      </c>
      <c r="J81" s="82">
        <f>IF(OR($G$76=$AA$76,C81=TRUE),0,1)</f>
        <v>0</v>
      </c>
      <c r="K81" s="85"/>
      <c r="L81" s="67"/>
      <c r="M81" s="32" t="str">
        <f t="shared" si="15"/>
        <v/>
      </c>
      <c r="N81" s="32" t="str">
        <f t="shared" si="14"/>
        <v/>
      </c>
      <c r="O81" s="32"/>
      <c r="P81" s="32"/>
      <c r="Q81" s="192"/>
      <c r="R81" s="33"/>
      <c r="S81" s="231"/>
      <c r="T81" s="9"/>
      <c r="U81" s="255"/>
      <c r="V81" s="256"/>
      <c r="W81" s="256"/>
      <c r="X81" s="256"/>
      <c r="Y81" s="256"/>
    </row>
    <row r="82" spans="1:27" ht="45" customHeight="1">
      <c r="F82" s="44" t="s">
        <v>27</v>
      </c>
      <c r="G82" s="44"/>
      <c r="H82" s="45"/>
      <c r="I82" s="44"/>
      <c r="J82" s="45">
        <f>SUM(J76:J81)</f>
        <v>12</v>
      </c>
      <c r="K82" s="45">
        <f>SUM(K76:K81)</f>
        <v>0</v>
      </c>
      <c r="L82" s="31" t="str">
        <f>IF(K82&gt;J82,"!","")</f>
        <v/>
      </c>
      <c r="M82" s="46">
        <f t="shared" ref="M82:N82" si="17">SUM(M76:M81)</f>
        <v>0</v>
      </c>
      <c r="N82" s="46">
        <f t="shared" si="17"/>
        <v>0</v>
      </c>
      <c r="Q82" s="194"/>
      <c r="R82" s="33"/>
      <c r="S82" s="234"/>
      <c r="T82" s="9"/>
      <c r="U82" s="259"/>
      <c r="V82" s="260"/>
      <c r="W82" s="260"/>
      <c r="X82" s="260"/>
      <c r="Y82" s="260"/>
    </row>
    <row r="83" spans="1:27" ht="45" customHeight="1">
      <c r="L83" s="71"/>
      <c r="Q83" s="194"/>
      <c r="U83" s="257"/>
      <c r="V83" s="258"/>
      <c r="W83" s="258"/>
      <c r="X83" s="258"/>
      <c r="Y83" s="258"/>
    </row>
    <row r="84" spans="1:27" ht="45" customHeight="1">
      <c r="F84" s="266" t="s">
        <v>226</v>
      </c>
      <c r="G84" s="72"/>
      <c r="H84" s="54"/>
      <c r="I84" s="72"/>
      <c r="J84" s="54">
        <f>14-SUM(B85:B95)</f>
        <v>14</v>
      </c>
      <c r="K84" s="54"/>
      <c r="L84" s="24"/>
      <c r="M84" s="165"/>
      <c r="N84" s="165"/>
      <c r="O84" s="165"/>
      <c r="P84" s="165"/>
      <c r="Q84" s="182"/>
      <c r="R84" s="33"/>
      <c r="S84" s="233"/>
      <c r="T84" s="65"/>
      <c r="U84" s="243"/>
      <c r="V84" s="233"/>
      <c r="W84" s="233"/>
      <c r="X84" s="233"/>
      <c r="Y84" s="233"/>
      <c r="AA84" s="9"/>
    </row>
    <row r="85" spans="1:27" ht="45" customHeight="1">
      <c r="F85" s="367" t="s">
        <v>410</v>
      </c>
      <c r="G85" s="427" t="s">
        <v>343</v>
      </c>
      <c r="H85" s="115" t="s">
        <v>330</v>
      </c>
      <c r="I85" s="190" t="s">
        <v>331</v>
      </c>
      <c r="J85" s="86">
        <f>IF($G$85=$AA$85,6,0)</f>
        <v>6</v>
      </c>
      <c r="K85" s="69"/>
      <c r="L85" s="67" t="str">
        <f>IF(SUM(K85:K86)&gt;7,"!", "")</f>
        <v/>
      </c>
      <c r="M85" s="32" t="str">
        <f>IF(OR(Q85=$AC$9,Q85=$AC$10),K85,"")</f>
        <v/>
      </c>
      <c r="N85" s="32" t="str">
        <f t="shared" ref="N85:N95" si="18">IF(Q85=$AC$11,K85,"")</f>
        <v/>
      </c>
      <c r="O85" s="32"/>
      <c r="P85" s="32"/>
      <c r="Q85" s="193"/>
      <c r="R85" s="33"/>
      <c r="S85" s="231"/>
      <c r="T85" s="9"/>
      <c r="U85" s="255"/>
      <c r="V85" s="256"/>
      <c r="W85" s="256"/>
      <c r="X85" s="256"/>
      <c r="Y85" s="256"/>
      <c r="AA85" s="33" t="s">
        <v>343</v>
      </c>
    </row>
    <row r="86" spans="1:27" ht="45" customHeight="1">
      <c r="F86" s="429"/>
      <c r="G86" s="427"/>
      <c r="H86" s="115" t="s">
        <v>332</v>
      </c>
      <c r="I86" s="190" t="s">
        <v>411</v>
      </c>
      <c r="J86" s="86">
        <v>4</v>
      </c>
      <c r="K86" s="69"/>
      <c r="L86" s="67" t="str">
        <f>IF(SUM(K85:K86)&gt;7,"!", "")</f>
        <v/>
      </c>
      <c r="M86" s="32" t="str">
        <f t="shared" ref="M86:M95" si="19">IF(OR(Q86=$AC$9,Q86=$AC$10),K86,"")</f>
        <v/>
      </c>
      <c r="N86" s="32" t="str">
        <f t="shared" si="18"/>
        <v/>
      </c>
      <c r="O86" s="32"/>
      <c r="P86" s="32"/>
      <c r="Q86" s="192"/>
      <c r="R86" s="33"/>
      <c r="S86" s="231"/>
      <c r="T86" s="9"/>
      <c r="U86" s="255"/>
      <c r="V86" s="256"/>
      <c r="W86" s="256"/>
      <c r="X86" s="256"/>
      <c r="Y86" s="256"/>
      <c r="AA86" s="11" t="s">
        <v>329</v>
      </c>
    </row>
    <row r="87" spans="1:27" ht="45" customHeight="1">
      <c r="F87" s="429"/>
      <c r="G87" s="427"/>
      <c r="H87" s="115" t="s">
        <v>334</v>
      </c>
      <c r="I87" s="130" t="s">
        <v>335</v>
      </c>
      <c r="J87" s="86">
        <f>IF($G$85=$AA$86,3,0)</f>
        <v>0</v>
      </c>
      <c r="K87" s="69"/>
      <c r="L87" s="416" t="str">
        <f>IF(SUM(K87:K89)&gt;5,"Error: the total number of points available for the 'Material Use' Pathway is 5. Please enter a points score less than or equal to 5.","")</f>
        <v/>
      </c>
      <c r="M87" s="32" t="str">
        <f t="shared" si="19"/>
        <v/>
      </c>
      <c r="N87" s="32" t="str">
        <f t="shared" si="18"/>
        <v/>
      </c>
      <c r="O87" s="32"/>
      <c r="P87" s="32"/>
      <c r="Q87" s="192"/>
      <c r="R87" s="33"/>
      <c r="S87" s="231"/>
      <c r="T87" s="9"/>
      <c r="U87" s="255"/>
      <c r="V87" s="256"/>
      <c r="W87" s="256"/>
      <c r="X87" s="256"/>
      <c r="Y87" s="256"/>
    </row>
    <row r="88" spans="1:27" ht="45" customHeight="1">
      <c r="F88" s="429"/>
      <c r="G88" s="427"/>
      <c r="H88" s="115" t="s">
        <v>336</v>
      </c>
      <c r="I88" s="130" t="s">
        <v>337</v>
      </c>
      <c r="J88" s="86">
        <f>IF($G$85=$AA$86,1,0)</f>
        <v>0</v>
      </c>
      <c r="K88" s="69"/>
      <c r="L88" s="416"/>
      <c r="M88" s="32" t="str">
        <f t="shared" si="19"/>
        <v/>
      </c>
      <c r="N88" s="32" t="str">
        <f t="shared" si="18"/>
        <v/>
      </c>
      <c r="O88" s="32"/>
      <c r="P88" s="32"/>
      <c r="Q88" s="192"/>
      <c r="R88" s="33"/>
      <c r="S88" s="231"/>
      <c r="T88" s="9"/>
      <c r="U88" s="255"/>
      <c r="V88" s="256"/>
      <c r="W88" s="256"/>
      <c r="X88" s="256"/>
      <c r="Y88" s="256"/>
    </row>
    <row r="89" spans="1:27" ht="45" customHeight="1">
      <c r="A89" s="152">
        <v>4</v>
      </c>
      <c r="B89" s="152">
        <f t="shared" ref="B89:B92" si="20">IF(C89=TRUE,A89,0)</f>
        <v>0</v>
      </c>
      <c r="F89" s="368"/>
      <c r="G89" s="427"/>
      <c r="H89" s="115" t="s">
        <v>338</v>
      </c>
      <c r="I89" s="131" t="s">
        <v>339</v>
      </c>
      <c r="J89" s="86">
        <f>IF($G$85=$AA$86,4,0)</f>
        <v>0</v>
      </c>
      <c r="K89" s="69"/>
      <c r="L89" s="416"/>
      <c r="M89" s="32" t="str">
        <f t="shared" si="19"/>
        <v/>
      </c>
      <c r="N89" s="32" t="str">
        <f t="shared" si="18"/>
        <v/>
      </c>
      <c r="O89" s="32"/>
      <c r="P89" s="32"/>
      <c r="Q89" s="192"/>
      <c r="R89" s="33"/>
      <c r="S89" s="231"/>
      <c r="T89" s="9"/>
      <c r="U89" s="255"/>
      <c r="V89" s="256"/>
      <c r="W89" s="256"/>
      <c r="X89" s="256"/>
      <c r="Y89" s="256"/>
    </row>
    <row r="90" spans="1:27" ht="45" customHeight="1">
      <c r="A90" s="152">
        <v>1</v>
      </c>
      <c r="B90" s="152">
        <f t="shared" si="20"/>
        <v>0</v>
      </c>
      <c r="C90" s="152" t="b">
        <v>0</v>
      </c>
      <c r="F90" s="356" t="s">
        <v>236</v>
      </c>
      <c r="G90" s="430" t="s">
        <v>412</v>
      </c>
      <c r="H90" s="129">
        <v>20.100000000000001</v>
      </c>
      <c r="I90" s="128" t="s">
        <v>238</v>
      </c>
      <c r="J90" s="86">
        <f>IF(C90=TRUE,0,1)</f>
        <v>1</v>
      </c>
      <c r="K90" s="59"/>
      <c r="L90" s="67"/>
      <c r="M90" s="32" t="str">
        <f t="shared" si="19"/>
        <v/>
      </c>
      <c r="N90" s="32" t="str">
        <f t="shared" si="18"/>
        <v/>
      </c>
      <c r="O90" s="32"/>
      <c r="P90" s="32"/>
      <c r="Q90" s="192"/>
      <c r="R90" s="33"/>
      <c r="S90" s="231"/>
      <c r="T90" s="9"/>
      <c r="U90" s="255"/>
      <c r="V90" s="256"/>
      <c r="W90" s="256"/>
      <c r="X90" s="256"/>
      <c r="Y90" s="256"/>
    </row>
    <row r="91" spans="1:27" ht="45" customHeight="1">
      <c r="A91" s="152">
        <v>1</v>
      </c>
      <c r="B91" s="152">
        <f t="shared" si="20"/>
        <v>0</v>
      </c>
      <c r="C91" s="152" t="b">
        <v>0</v>
      </c>
      <c r="F91" s="357"/>
      <c r="G91" s="388"/>
      <c r="H91" s="129">
        <v>20.2</v>
      </c>
      <c r="I91" s="128" t="s">
        <v>413</v>
      </c>
      <c r="J91" s="86">
        <f t="shared" ref="J91:J92" si="21">IF(C91=TRUE,0,1)</f>
        <v>1</v>
      </c>
      <c r="K91" s="59"/>
      <c r="L91" s="31"/>
      <c r="M91" s="32" t="str">
        <f t="shared" si="19"/>
        <v/>
      </c>
      <c r="N91" s="32" t="str">
        <f t="shared" si="18"/>
        <v/>
      </c>
      <c r="O91" s="32"/>
      <c r="P91" s="32"/>
      <c r="Q91" s="192"/>
      <c r="R91" s="33"/>
      <c r="S91" s="231"/>
      <c r="T91" s="9"/>
      <c r="U91" s="255"/>
      <c r="V91" s="256"/>
      <c r="W91" s="256"/>
      <c r="X91" s="256"/>
      <c r="Y91" s="256"/>
    </row>
    <row r="92" spans="1:27" ht="45" customHeight="1">
      <c r="A92" s="152">
        <v>1</v>
      </c>
      <c r="B92" s="152">
        <f t="shared" si="20"/>
        <v>0</v>
      </c>
      <c r="C92" s="152" t="b">
        <v>0</v>
      </c>
      <c r="F92" s="358"/>
      <c r="G92" s="389"/>
      <c r="H92" s="129">
        <v>20.3</v>
      </c>
      <c r="I92" s="128" t="s">
        <v>240</v>
      </c>
      <c r="J92" s="86">
        <f t="shared" si="21"/>
        <v>1</v>
      </c>
      <c r="K92" s="59"/>
      <c r="L92" s="31"/>
      <c r="M92" s="32" t="str">
        <f t="shared" si="19"/>
        <v/>
      </c>
      <c r="N92" s="32" t="str">
        <f t="shared" si="18"/>
        <v/>
      </c>
      <c r="O92" s="32"/>
      <c r="P92" s="32"/>
      <c r="Q92" s="192"/>
      <c r="R92" s="33"/>
      <c r="S92" s="231"/>
      <c r="T92" s="9"/>
      <c r="U92" s="255"/>
      <c r="V92" s="256"/>
      <c r="W92" s="256"/>
      <c r="X92" s="256"/>
      <c r="Y92" s="256"/>
    </row>
    <row r="93" spans="1:27" ht="45" customHeight="1">
      <c r="F93" s="184" t="s">
        <v>241</v>
      </c>
      <c r="G93" s="38" t="s">
        <v>414</v>
      </c>
      <c r="H93" s="127">
        <v>21.1</v>
      </c>
      <c r="I93" s="128" t="s">
        <v>243</v>
      </c>
      <c r="J93" s="86">
        <v>3</v>
      </c>
      <c r="K93" s="59"/>
      <c r="L93" s="24"/>
      <c r="M93" s="32" t="str">
        <f t="shared" si="19"/>
        <v/>
      </c>
      <c r="N93" s="32" t="str">
        <f>IF(Q93=$AC$11,K93,"")</f>
        <v/>
      </c>
      <c r="O93" s="32"/>
      <c r="P93" s="32"/>
      <c r="Q93" s="192"/>
      <c r="R93" s="33"/>
      <c r="S93" s="231"/>
      <c r="T93" s="9"/>
      <c r="U93" s="255"/>
      <c r="V93" s="256"/>
      <c r="W93" s="256"/>
      <c r="X93" s="256"/>
      <c r="Y93" s="256"/>
    </row>
    <row r="94" spans="1:27" ht="45" customHeight="1">
      <c r="F94" s="356" t="s">
        <v>244</v>
      </c>
      <c r="G94" s="369" t="s">
        <v>248</v>
      </c>
      <c r="H94" s="196" t="s">
        <v>341</v>
      </c>
      <c r="I94" s="128" t="s">
        <v>248</v>
      </c>
      <c r="J94" s="86">
        <f>IF(G94=AA94,1,"-")</f>
        <v>1</v>
      </c>
      <c r="K94" s="59"/>
      <c r="L94" s="24"/>
      <c r="M94" s="32"/>
      <c r="N94" s="32"/>
      <c r="O94" s="32"/>
      <c r="P94" s="32"/>
      <c r="Q94" s="192"/>
      <c r="R94" s="33"/>
      <c r="S94" s="231"/>
      <c r="T94" s="9"/>
      <c r="U94" s="255"/>
      <c r="V94" s="256"/>
      <c r="W94" s="256"/>
      <c r="X94" s="256"/>
      <c r="Y94" s="256"/>
      <c r="AA94" s="11" t="s">
        <v>248</v>
      </c>
    </row>
    <row r="95" spans="1:27" ht="45" customHeight="1">
      <c r="F95" s="358"/>
      <c r="G95" s="370"/>
      <c r="H95" s="196" t="s">
        <v>342</v>
      </c>
      <c r="I95" s="268" t="s">
        <v>246</v>
      </c>
      <c r="J95" s="86" t="str">
        <f>IF(G94=AA95,1,"-")</f>
        <v>-</v>
      </c>
      <c r="K95" s="59"/>
      <c r="L95" s="31"/>
      <c r="M95" s="32" t="str">
        <f t="shared" si="19"/>
        <v/>
      </c>
      <c r="N95" s="32" t="str">
        <f t="shared" si="18"/>
        <v/>
      </c>
      <c r="O95" s="32"/>
      <c r="P95" s="32"/>
      <c r="Q95" s="192"/>
      <c r="R95" s="33"/>
      <c r="S95" s="231"/>
      <c r="T95" s="9"/>
      <c r="U95" s="255"/>
      <c r="V95" s="256"/>
      <c r="W95" s="256"/>
      <c r="X95" s="256"/>
      <c r="Y95" s="256"/>
      <c r="AA95" s="11" t="s">
        <v>246</v>
      </c>
    </row>
    <row r="96" spans="1:27" ht="45" customHeight="1">
      <c r="F96" s="44" t="s">
        <v>27</v>
      </c>
      <c r="G96" s="44"/>
      <c r="H96" s="45"/>
      <c r="I96" s="44"/>
      <c r="J96" s="45">
        <f>IF(G85=AA86,12,14)</f>
        <v>14</v>
      </c>
      <c r="K96" s="45">
        <f>SUM(K85:K95)</f>
        <v>0</v>
      </c>
      <c r="L96" s="31" t="str">
        <f>IF(K96&gt;J96,"!","")</f>
        <v/>
      </c>
      <c r="M96" s="46">
        <f>SUM(M85:M95)</f>
        <v>0</v>
      </c>
      <c r="N96" s="46">
        <f>SUM(N85:N95)</f>
        <v>0</v>
      </c>
      <c r="Q96" s="194"/>
      <c r="R96" s="33"/>
      <c r="S96" s="234"/>
      <c r="T96" s="9"/>
      <c r="U96" s="259"/>
      <c r="V96" s="260"/>
      <c r="W96" s="260"/>
      <c r="X96" s="260"/>
      <c r="Y96" s="260"/>
    </row>
    <row r="97" spans="1:25" ht="45" customHeight="1">
      <c r="L97" s="71"/>
      <c r="Q97" s="194"/>
      <c r="R97" s="157"/>
      <c r="U97" s="257"/>
      <c r="V97" s="258"/>
      <c r="W97" s="258"/>
      <c r="X97" s="258"/>
      <c r="Y97" s="258"/>
    </row>
    <row r="98" spans="1:25" ht="45" customHeight="1">
      <c r="F98" s="375" t="s">
        <v>250</v>
      </c>
      <c r="G98" s="375"/>
      <c r="H98" s="375"/>
      <c r="I98" s="375"/>
      <c r="J98" s="54">
        <f>6-SUM(B99:B104)</f>
        <v>6</v>
      </c>
      <c r="K98" s="54"/>
      <c r="L98" s="24"/>
      <c r="M98" s="378"/>
      <c r="N98" s="378"/>
      <c r="O98" s="267"/>
      <c r="P98" s="267"/>
      <c r="Q98" s="182"/>
      <c r="R98" s="157"/>
      <c r="S98" s="233"/>
      <c r="T98" s="65"/>
      <c r="U98" s="243"/>
      <c r="V98" s="233"/>
      <c r="W98" s="233"/>
      <c r="X98" s="233"/>
      <c r="Y98" s="233"/>
    </row>
    <row r="99" spans="1:25" ht="45" customHeight="1">
      <c r="F99" s="358" t="s">
        <v>251</v>
      </c>
      <c r="G99" s="363" t="s">
        <v>252</v>
      </c>
      <c r="H99" s="88">
        <v>23</v>
      </c>
      <c r="I99" s="89" t="s">
        <v>344</v>
      </c>
      <c r="J99" s="35" t="s">
        <v>370</v>
      </c>
      <c r="K99" s="90"/>
      <c r="L99" s="67"/>
      <c r="M99" s="32" t="str">
        <f>IF(OR(Q99=$AC$9,Q99=$AC$10),K99,"")</f>
        <v/>
      </c>
      <c r="N99" s="32" t="str">
        <f t="shared" ref="N99:N104" si="22">IF(Q99=$AC$11,K99,"")</f>
        <v/>
      </c>
      <c r="O99" s="32"/>
      <c r="P99" s="32"/>
      <c r="Q99" s="193"/>
      <c r="S99" s="231"/>
      <c r="T99" s="9"/>
      <c r="U99" s="255"/>
      <c r="V99" s="256"/>
      <c r="W99" s="256"/>
      <c r="X99" s="256"/>
      <c r="Y99" s="256"/>
    </row>
    <row r="100" spans="1:25" ht="45" customHeight="1">
      <c r="F100" s="391"/>
      <c r="G100" s="364"/>
      <c r="H100" s="37">
        <v>23.1</v>
      </c>
      <c r="I100" s="57" t="s">
        <v>251</v>
      </c>
      <c r="J100" s="29">
        <v>3</v>
      </c>
      <c r="K100" s="69"/>
      <c r="L100" s="31" t="str">
        <f>IF(AND(K100&gt;0,$K99&lt;&gt;$AD$8),"!","")</f>
        <v/>
      </c>
      <c r="M100" s="32" t="str">
        <f t="shared" ref="M100:M104" si="23">IF(OR(Q100=$AC$9,Q100=$AC$10),K100,"")</f>
        <v/>
      </c>
      <c r="N100" s="32" t="str">
        <f t="shared" si="22"/>
        <v/>
      </c>
      <c r="O100" s="32"/>
      <c r="P100" s="32"/>
      <c r="Q100" s="192"/>
      <c r="S100" s="231"/>
      <c r="T100" s="9"/>
      <c r="U100" s="255"/>
      <c r="V100" s="256"/>
      <c r="W100" s="256"/>
      <c r="X100" s="256"/>
      <c r="Y100" s="256"/>
    </row>
    <row r="101" spans="1:25" ht="45" customHeight="1">
      <c r="F101" s="391" t="s">
        <v>253</v>
      </c>
      <c r="G101" s="362" t="s">
        <v>415</v>
      </c>
      <c r="H101" s="37">
        <v>24</v>
      </c>
      <c r="I101" s="91" t="s">
        <v>189</v>
      </c>
      <c r="J101" s="29" t="s">
        <v>370</v>
      </c>
      <c r="K101" s="69"/>
      <c r="L101" s="67"/>
      <c r="M101" s="32" t="str">
        <f t="shared" si="23"/>
        <v/>
      </c>
      <c r="N101" s="32" t="str">
        <f t="shared" si="22"/>
        <v/>
      </c>
      <c r="O101" s="32"/>
      <c r="P101" s="32"/>
      <c r="Q101" s="192"/>
      <c r="S101" s="231"/>
      <c r="T101" s="9"/>
      <c r="U101" s="255"/>
      <c r="V101" s="256"/>
      <c r="W101" s="256"/>
      <c r="X101" s="256"/>
      <c r="Y101" s="256"/>
    </row>
    <row r="102" spans="1:25" ht="45" customHeight="1">
      <c r="F102" s="391"/>
      <c r="G102" s="363"/>
      <c r="H102" s="37">
        <v>24.1</v>
      </c>
      <c r="I102" s="91" t="s">
        <v>256</v>
      </c>
      <c r="J102" s="29">
        <v>1</v>
      </c>
      <c r="K102" s="69"/>
      <c r="L102" s="31" t="str">
        <f>IF(AND(K102&gt;0,$K$101&lt;&gt;$AD$8),"!","")</f>
        <v/>
      </c>
      <c r="M102" s="32" t="str">
        <f t="shared" si="23"/>
        <v/>
      </c>
      <c r="N102" s="32" t="str">
        <f t="shared" si="22"/>
        <v/>
      </c>
      <c r="O102" s="32"/>
      <c r="P102" s="32"/>
      <c r="Q102" s="192"/>
      <c r="S102" s="231"/>
      <c r="T102" s="9"/>
      <c r="U102" s="255"/>
      <c r="V102" s="256"/>
      <c r="W102" s="256"/>
      <c r="X102" s="256"/>
      <c r="Y102" s="256"/>
    </row>
    <row r="103" spans="1:25" ht="45" customHeight="1">
      <c r="A103" s="152">
        <v>1</v>
      </c>
      <c r="B103" s="152">
        <f t="shared" ref="B103" si="24">IF(C103=TRUE,A103,0)</f>
        <v>0</v>
      </c>
      <c r="C103" s="152" t="b">
        <v>0</v>
      </c>
      <c r="F103" s="391"/>
      <c r="G103" s="364"/>
      <c r="H103" s="37">
        <v>24.2</v>
      </c>
      <c r="I103" s="91" t="s">
        <v>257</v>
      </c>
      <c r="J103" s="29">
        <f>IF(C103=FALSE,1,0)</f>
        <v>1</v>
      </c>
      <c r="K103" s="69"/>
      <c r="L103" s="31" t="str">
        <f>IF(AND(K103&gt;0,$K$101&lt;&gt;$AD$8),"!","")</f>
        <v/>
      </c>
      <c r="M103" s="32" t="str">
        <f t="shared" si="23"/>
        <v/>
      </c>
      <c r="N103" s="32" t="str">
        <f t="shared" si="22"/>
        <v/>
      </c>
      <c r="O103" s="32"/>
      <c r="P103" s="32"/>
      <c r="Q103" s="192"/>
      <c r="S103" s="231"/>
      <c r="T103" s="9"/>
      <c r="U103" s="255"/>
      <c r="V103" s="256"/>
      <c r="W103" s="256"/>
      <c r="X103" s="256"/>
      <c r="Y103" s="256"/>
    </row>
    <row r="104" spans="1:25" ht="45" customHeight="1">
      <c r="F104" s="186" t="s">
        <v>416</v>
      </c>
      <c r="G104" s="269" t="s">
        <v>417</v>
      </c>
      <c r="H104" s="92">
        <v>25</v>
      </c>
      <c r="I104" s="93" t="s">
        <v>418</v>
      </c>
      <c r="J104" s="61">
        <v>1</v>
      </c>
      <c r="K104" s="94"/>
      <c r="L104" s="31"/>
      <c r="M104" s="32" t="str">
        <f t="shared" si="23"/>
        <v/>
      </c>
      <c r="N104" s="32" t="str">
        <f t="shared" si="22"/>
        <v/>
      </c>
      <c r="O104" s="32"/>
      <c r="P104" s="32"/>
      <c r="Q104" s="192"/>
      <c r="S104" s="231"/>
      <c r="T104" s="9"/>
      <c r="U104" s="255"/>
      <c r="V104" s="256"/>
      <c r="W104" s="256"/>
      <c r="X104" s="256"/>
      <c r="Y104" s="256"/>
    </row>
    <row r="105" spans="1:25" ht="45" customHeight="1">
      <c r="F105" s="44" t="s">
        <v>27</v>
      </c>
      <c r="G105" s="44"/>
      <c r="H105" s="45"/>
      <c r="I105" s="44"/>
      <c r="J105" s="45">
        <f>SUM(J99:J104)</f>
        <v>6</v>
      </c>
      <c r="K105" s="45">
        <f>SUM(K99:K104)</f>
        <v>0</v>
      </c>
      <c r="L105" s="31" t="str">
        <f>IF(K105&gt;J105,"!","")</f>
        <v/>
      </c>
      <c r="M105" s="46">
        <f t="shared" ref="M105:N105" si="25">SUM(M99:M104)</f>
        <v>0</v>
      </c>
      <c r="N105" s="46">
        <f t="shared" si="25"/>
        <v>0</v>
      </c>
      <c r="Q105" s="194"/>
      <c r="R105" s="33"/>
      <c r="S105" s="234"/>
      <c r="T105" s="9"/>
      <c r="U105" s="259"/>
      <c r="V105" s="260"/>
      <c r="W105" s="260"/>
      <c r="X105" s="260"/>
      <c r="Y105" s="260"/>
    </row>
    <row r="106" spans="1:25" ht="45" customHeight="1">
      <c r="L106" s="71"/>
      <c r="Q106" s="194"/>
      <c r="U106" s="257"/>
      <c r="V106" s="258"/>
      <c r="W106" s="258"/>
      <c r="X106" s="258"/>
      <c r="Y106" s="258"/>
    </row>
    <row r="107" spans="1:25" ht="45" customHeight="1">
      <c r="F107" s="375" t="s">
        <v>258</v>
      </c>
      <c r="G107" s="375"/>
      <c r="H107" s="375"/>
      <c r="I107" s="375"/>
      <c r="J107" s="54">
        <f>5-SUM(B108:B113)</f>
        <v>5</v>
      </c>
      <c r="K107" s="54"/>
      <c r="L107" s="24"/>
      <c r="M107" s="165"/>
      <c r="N107" s="165"/>
      <c r="O107" s="165"/>
      <c r="P107" s="165"/>
      <c r="Q107" s="182"/>
      <c r="R107" s="33"/>
      <c r="S107" s="233"/>
      <c r="T107" s="65"/>
      <c r="U107" s="243"/>
      <c r="V107" s="233"/>
      <c r="W107" s="233"/>
      <c r="X107" s="233"/>
      <c r="Y107" s="233"/>
    </row>
    <row r="108" spans="1:25" ht="45" customHeight="1">
      <c r="F108" s="358" t="s">
        <v>259</v>
      </c>
      <c r="G108" s="363" t="s">
        <v>419</v>
      </c>
      <c r="H108" s="88">
        <v>26.1</v>
      </c>
      <c r="I108" s="57" t="s">
        <v>261</v>
      </c>
      <c r="J108" s="35">
        <v>1</v>
      </c>
      <c r="K108" s="90"/>
      <c r="L108" s="67"/>
      <c r="M108" s="32" t="str">
        <f>IF(OR(Q108=$AC$9,Q108=$AC$10),K108,"")</f>
        <v/>
      </c>
      <c r="N108" s="32" t="str">
        <f t="shared" ref="N108:N113" si="26">IF(Q108=$AC$11,K108,"")</f>
        <v/>
      </c>
      <c r="O108" s="32"/>
      <c r="P108" s="32"/>
      <c r="Q108" s="193"/>
      <c r="R108" s="9"/>
      <c r="S108" s="231"/>
      <c r="T108" s="9"/>
      <c r="U108" s="255"/>
      <c r="V108" s="256"/>
      <c r="W108" s="256"/>
      <c r="X108" s="256"/>
      <c r="Y108" s="256"/>
    </row>
    <row r="109" spans="1:25" ht="45" customHeight="1">
      <c r="F109" s="391"/>
      <c r="G109" s="364"/>
      <c r="H109" s="37">
        <v>26.2</v>
      </c>
      <c r="I109" s="57" t="s">
        <v>262</v>
      </c>
      <c r="J109" s="29">
        <v>1</v>
      </c>
      <c r="K109" s="69"/>
      <c r="L109" s="67"/>
      <c r="M109" s="32" t="str">
        <f t="shared" ref="M109:M113" si="27">IF(OR(Q109=$AC$9,Q109=$AC$10),K109,"")</f>
        <v/>
      </c>
      <c r="N109" s="32" t="str">
        <f t="shared" si="26"/>
        <v/>
      </c>
      <c r="O109" s="32"/>
      <c r="P109" s="32"/>
      <c r="Q109" s="192"/>
      <c r="R109" s="9"/>
      <c r="S109" s="231"/>
      <c r="T109" s="9"/>
      <c r="U109" s="255"/>
      <c r="V109" s="256"/>
      <c r="W109" s="256"/>
      <c r="X109" s="256"/>
      <c r="Y109" s="256"/>
    </row>
    <row r="110" spans="1:25" ht="45" customHeight="1">
      <c r="F110" s="391" t="s">
        <v>263</v>
      </c>
      <c r="G110" s="362" t="s">
        <v>264</v>
      </c>
      <c r="H110" s="37">
        <v>27</v>
      </c>
      <c r="I110" s="91" t="s">
        <v>265</v>
      </c>
      <c r="J110" s="29" t="s">
        <v>370</v>
      </c>
      <c r="K110" s="69"/>
      <c r="L110" s="67"/>
      <c r="M110" s="32" t="str">
        <f t="shared" si="27"/>
        <v/>
      </c>
      <c r="N110" s="32" t="str">
        <f t="shared" si="26"/>
        <v/>
      </c>
      <c r="O110" s="32"/>
      <c r="P110" s="32"/>
      <c r="Q110" s="192"/>
      <c r="R110" s="9"/>
      <c r="S110" s="231"/>
      <c r="T110" s="9"/>
      <c r="U110" s="255"/>
      <c r="V110" s="256"/>
      <c r="W110" s="256"/>
      <c r="X110" s="256"/>
      <c r="Y110" s="256"/>
    </row>
    <row r="111" spans="1:25" ht="45" customHeight="1">
      <c r="F111" s="391"/>
      <c r="G111" s="364"/>
      <c r="H111" s="39">
        <v>27.1</v>
      </c>
      <c r="I111" s="91" t="s">
        <v>266</v>
      </c>
      <c r="J111" s="29">
        <v>1</v>
      </c>
      <c r="K111" s="69"/>
      <c r="L111" s="31" t="str">
        <f>IF(AND(K111&gt;0,$K110&lt;&gt;$AD$8),"!","")</f>
        <v/>
      </c>
      <c r="M111" s="32" t="str">
        <f t="shared" si="27"/>
        <v/>
      </c>
      <c r="N111" s="32" t="str">
        <f t="shared" si="26"/>
        <v/>
      </c>
      <c r="O111" s="32"/>
      <c r="P111" s="32"/>
      <c r="Q111" s="192"/>
      <c r="R111" s="9"/>
      <c r="S111" s="231"/>
      <c r="T111" s="9"/>
      <c r="U111" s="255"/>
      <c r="V111" s="256"/>
      <c r="W111" s="256"/>
      <c r="X111" s="256"/>
      <c r="Y111" s="256"/>
    </row>
    <row r="112" spans="1:25" ht="45" customHeight="1">
      <c r="F112" s="184" t="s">
        <v>267</v>
      </c>
      <c r="G112" s="268" t="s">
        <v>420</v>
      </c>
      <c r="H112" s="37">
        <v>28</v>
      </c>
      <c r="I112" s="60" t="s">
        <v>269</v>
      </c>
      <c r="J112" s="29">
        <v>1</v>
      </c>
      <c r="K112" s="69"/>
      <c r="L112" s="67"/>
      <c r="M112" s="32" t="str">
        <f t="shared" si="27"/>
        <v/>
      </c>
      <c r="N112" s="32" t="str">
        <f t="shared" si="26"/>
        <v/>
      </c>
      <c r="O112" s="32"/>
      <c r="P112" s="32"/>
      <c r="Q112" s="192"/>
      <c r="R112" s="9"/>
      <c r="S112" s="231"/>
      <c r="T112" s="9"/>
      <c r="U112" s="255"/>
      <c r="V112" s="256"/>
      <c r="W112" s="256"/>
      <c r="X112" s="256"/>
      <c r="Y112" s="256"/>
    </row>
    <row r="113" spans="2:25" ht="45" customHeight="1">
      <c r="F113" s="95" t="s">
        <v>270</v>
      </c>
      <c r="G113" s="269" t="s">
        <v>421</v>
      </c>
      <c r="H113" s="92">
        <v>29</v>
      </c>
      <c r="I113" s="60" t="s">
        <v>272</v>
      </c>
      <c r="J113" s="61">
        <v>1</v>
      </c>
      <c r="K113" s="94"/>
      <c r="L113" s="67"/>
      <c r="M113" s="32" t="str">
        <f t="shared" si="27"/>
        <v/>
      </c>
      <c r="N113" s="32" t="str">
        <f t="shared" si="26"/>
        <v/>
      </c>
      <c r="O113" s="32"/>
      <c r="P113" s="32"/>
      <c r="Q113" s="192"/>
      <c r="R113" s="9"/>
      <c r="S113" s="231"/>
      <c r="T113" s="9"/>
      <c r="U113" s="255"/>
      <c r="V113" s="256"/>
      <c r="W113" s="256"/>
      <c r="X113" s="256"/>
      <c r="Y113" s="256"/>
    </row>
    <row r="114" spans="2:25" ht="45" customHeight="1">
      <c r="F114" s="44" t="s">
        <v>27</v>
      </c>
      <c r="G114" s="44"/>
      <c r="H114" s="45"/>
      <c r="I114" s="44"/>
      <c r="J114" s="45">
        <f>SUM(J108:J113)</f>
        <v>5</v>
      </c>
      <c r="K114" s="45">
        <f>SUM(K108:K113)</f>
        <v>0</v>
      </c>
      <c r="L114" s="31" t="str">
        <f>IF(K114&gt;J114,"!","")</f>
        <v/>
      </c>
      <c r="M114" s="46">
        <f t="shared" ref="M114:N114" si="28">SUM(M108:M113)</f>
        <v>0</v>
      </c>
      <c r="N114" s="46">
        <f t="shared" si="28"/>
        <v>0</v>
      </c>
      <c r="O114" s="6"/>
      <c r="P114" s="6"/>
      <c r="Q114" s="195"/>
      <c r="R114" s="9"/>
      <c r="S114" s="236"/>
      <c r="T114" s="9"/>
      <c r="U114" s="261"/>
      <c r="V114" s="262"/>
      <c r="W114" s="262"/>
      <c r="X114" s="262"/>
      <c r="Y114" s="262"/>
    </row>
    <row r="115" spans="2:25" ht="45" customHeight="1">
      <c r="F115" s="62"/>
      <c r="G115" s="62"/>
      <c r="H115" s="6"/>
      <c r="I115" s="62"/>
      <c r="J115" s="6"/>
      <c r="K115" s="6"/>
      <c r="L115" s="24"/>
      <c r="M115" s="6"/>
      <c r="N115" s="6"/>
      <c r="O115" s="6"/>
      <c r="P115" s="6"/>
      <c r="Q115" s="195"/>
      <c r="R115" s="9"/>
      <c r="S115" s="236"/>
      <c r="T115" s="9"/>
      <c r="U115" s="261"/>
      <c r="V115" s="262"/>
      <c r="W115" s="262"/>
      <c r="X115" s="262"/>
      <c r="Y115" s="262"/>
    </row>
    <row r="116" spans="2:25" ht="45" customHeight="1">
      <c r="F116" s="375" t="s">
        <v>273</v>
      </c>
      <c r="G116" s="375"/>
      <c r="H116" s="375"/>
      <c r="I116" s="375"/>
      <c r="J116" s="54">
        <v>10</v>
      </c>
      <c r="K116" s="96"/>
      <c r="L116" s="24"/>
      <c r="M116" s="97"/>
      <c r="N116" s="97"/>
      <c r="O116" s="97"/>
      <c r="P116" s="97"/>
      <c r="Q116" s="183"/>
      <c r="R116" s="65"/>
      <c r="S116" s="237"/>
      <c r="T116" s="65"/>
      <c r="U116" s="245"/>
      <c r="V116" s="237"/>
      <c r="W116" s="237"/>
      <c r="X116" s="237"/>
      <c r="Y116" s="237"/>
    </row>
    <row r="117" spans="2:25" ht="45" customHeight="1">
      <c r="F117" s="185" t="s">
        <v>274</v>
      </c>
      <c r="G117" s="98" t="s">
        <v>345</v>
      </c>
      <c r="H117" s="35" t="s">
        <v>346</v>
      </c>
      <c r="I117" s="188" t="s">
        <v>274</v>
      </c>
      <c r="J117" s="390">
        <v>10</v>
      </c>
      <c r="K117" s="90"/>
      <c r="L117" s="67"/>
      <c r="M117" s="32" t="str">
        <f>IF(OR(Q117=$AC$9,Q117=$AC$10),K117,"")</f>
        <v/>
      </c>
      <c r="N117" s="32" t="str">
        <f t="shared" ref="N117:N121" si="29">IF(Q117=$AC$11,K117,"")</f>
        <v/>
      </c>
      <c r="O117" s="32"/>
      <c r="P117" s="32"/>
      <c r="Q117" s="193"/>
      <c r="R117" s="65"/>
      <c r="S117" s="231"/>
      <c r="T117" s="9"/>
      <c r="U117" s="255"/>
      <c r="V117" s="256"/>
      <c r="W117" s="256"/>
      <c r="X117" s="256"/>
      <c r="Y117" s="256"/>
    </row>
    <row r="118" spans="2:25" ht="45" customHeight="1">
      <c r="F118" s="184" t="s">
        <v>276</v>
      </c>
      <c r="G118" s="43" t="s">
        <v>347</v>
      </c>
      <c r="H118" s="29" t="s">
        <v>348</v>
      </c>
      <c r="I118" s="38" t="s">
        <v>276</v>
      </c>
      <c r="J118" s="390"/>
      <c r="K118" s="90"/>
      <c r="L118" s="67"/>
      <c r="M118" s="32" t="str">
        <f t="shared" ref="M118:M121" si="30">IF(OR(Q118=$AC$9,Q118=$AC$10),K118,"")</f>
        <v/>
      </c>
      <c r="N118" s="32" t="str">
        <f t="shared" si="29"/>
        <v/>
      </c>
      <c r="O118" s="32"/>
      <c r="P118" s="32"/>
      <c r="Q118" s="192"/>
      <c r="R118" s="65"/>
      <c r="S118" s="231"/>
      <c r="T118" s="9"/>
      <c r="U118" s="255"/>
      <c r="V118" s="256"/>
      <c r="W118" s="256"/>
      <c r="X118" s="256"/>
      <c r="Y118" s="256"/>
    </row>
    <row r="119" spans="2:25" ht="45" customHeight="1">
      <c r="F119" s="184" t="s">
        <v>278</v>
      </c>
      <c r="G119" s="43" t="s">
        <v>349</v>
      </c>
      <c r="H119" s="29" t="s">
        <v>350</v>
      </c>
      <c r="I119" s="38" t="s">
        <v>278</v>
      </c>
      <c r="J119" s="390"/>
      <c r="K119" s="90"/>
      <c r="L119" s="67"/>
      <c r="M119" s="32" t="str">
        <f t="shared" si="30"/>
        <v/>
      </c>
      <c r="N119" s="32" t="str">
        <f t="shared" si="29"/>
        <v/>
      </c>
      <c r="O119" s="32"/>
      <c r="P119" s="32"/>
      <c r="Q119" s="192"/>
      <c r="R119" s="65"/>
      <c r="S119" s="231"/>
      <c r="T119" s="9"/>
      <c r="U119" s="255"/>
      <c r="V119" s="256"/>
      <c r="W119" s="256"/>
      <c r="X119" s="256"/>
      <c r="Y119" s="256"/>
    </row>
    <row r="120" spans="2:25" ht="45" customHeight="1">
      <c r="F120" s="184" t="s">
        <v>280</v>
      </c>
      <c r="G120" s="43" t="s">
        <v>351</v>
      </c>
      <c r="H120" s="29" t="s">
        <v>352</v>
      </c>
      <c r="I120" s="38" t="s">
        <v>280</v>
      </c>
      <c r="J120" s="390"/>
      <c r="K120" s="90"/>
      <c r="L120" s="67"/>
      <c r="M120" s="32" t="str">
        <f t="shared" si="30"/>
        <v/>
      </c>
      <c r="N120" s="32" t="str">
        <f t="shared" si="29"/>
        <v/>
      </c>
      <c r="O120" s="32"/>
      <c r="P120" s="32"/>
      <c r="Q120" s="192"/>
      <c r="R120" s="65"/>
      <c r="S120" s="231"/>
      <c r="T120" s="9"/>
      <c r="U120" s="255"/>
      <c r="V120" s="256"/>
      <c r="W120" s="256"/>
      <c r="X120" s="256"/>
      <c r="Y120" s="256"/>
    </row>
    <row r="121" spans="2:25" ht="45" customHeight="1">
      <c r="F121" s="186" t="s">
        <v>282</v>
      </c>
      <c r="G121" s="99" t="s">
        <v>353</v>
      </c>
      <c r="H121" s="61" t="s">
        <v>354</v>
      </c>
      <c r="I121" s="187" t="s">
        <v>282</v>
      </c>
      <c r="J121" s="390"/>
      <c r="K121" s="90"/>
      <c r="L121" s="67"/>
      <c r="M121" s="32" t="str">
        <f t="shared" si="30"/>
        <v/>
      </c>
      <c r="N121" s="32" t="str">
        <f t="shared" si="29"/>
        <v/>
      </c>
      <c r="O121" s="32"/>
      <c r="P121" s="32"/>
      <c r="Q121" s="192"/>
      <c r="R121" s="65"/>
      <c r="S121" s="231"/>
      <c r="T121" s="9"/>
      <c r="U121" s="255"/>
      <c r="V121" s="256"/>
      <c r="W121" s="256"/>
      <c r="X121" s="256"/>
      <c r="Y121" s="256"/>
    </row>
    <row r="122" spans="2:25" ht="45" customHeight="1">
      <c r="F122" s="44" t="s">
        <v>27</v>
      </c>
      <c r="G122" s="44"/>
      <c r="H122" s="45"/>
      <c r="I122" s="44"/>
      <c r="J122" s="45">
        <f>SUM(J117)</f>
        <v>10</v>
      </c>
      <c r="K122" s="45">
        <f>IF(SUM(K117:K121)&gt;10,10,SUM(K117:K121))</f>
        <v>0</v>
      </c>
      <c r="L122" s="31" t="str">
        <f>IF(K122&gt;J122,"!","")</f>
        <v/>
      </c>
      <c r="M122" s="46">
        <f t="shared" ref="M122:N122" si="31">SUM(M117:M121)</f>
        <v>0</v>
      </c>
      <c r="N122" s="46">
        <f t="shared" si="31"/>
        <v>0</v>
      </c>
      <c r="U122" s="244"/>
      <c r="V122" s="228"/>
      <c r="W122" s="228"/>
      <c r="X122" s="228"/>
      <c r="Y122" s="228"/>
    </row>
    <row r="123" spans="2:25" ht="45" customHeight="1">
      <c r="F123" s="62"/>
      <c r="G123" s="62"/>
      <c r="H123" s="6"/>
      <c r="I123" s="62"/>
      <c r="J123" s="6"/>
      <c r="K123" s="6"/>
      <c r="L123" s="9"/>
      <c r="M123" s="6"/>
      <c r="N123" s="6"/>
      <c r="O123" s="6"/>
      <c r="P123" s="6"/>
      <c r="U123" s="244"/>
      <c r="V123" s="228"/>
      <c r="W123" s="228"/>
      <c r="X123" s="228"/>
      <c r="Y123" s="228"/>
    </row>
    <row r="124" spans="2:25" ht="45" customHeight="1">
      <c r="B124" s="155" t="s">
        <v>284</v>
      </c>
      <c r="F124" s="120"/>
      <c r="G124" s="120"/>
      <c r="H124" s="47"/>
      <c r="I124" s="117" t="s">
        <v>285</v>
      </c>
      <c r="J124" s="14" t="s">
        <v>286</v>
      </c>
      <c r="K124" s="14" t="s">
        <v>287</v>
      </c>
      <c r="L124" s="132"/>
      <c r="M124" s="14" t="s">
        <v>288</v>
      </c>
      <c r="N124" s="14" t="s">
        <v>289</v>
      </c>
      <c r="S124" s="238"/>
      <c r="T124" s="65"/>
      <c r="U124" s="246"/>
      <c r="V124" s="238"/>
      <c r="W124" s="238"/>
      <c r="X124" s="238"/>
      <c r="Y124" s="238"/>
    </row>
    <row r="125" spans="2:25" ht="45" customHeight="1">
      <c r="B125" s="152">
        <f>SUM(B7:B113)</f>
        <v>0</v>
      </c>
      <c r="F125" s="22"/>
      <c r="G125" s="22"/>
      <c r="H125" s="6"/>
      <c r="I125" s="23" t="s">
        <v>290</v>
      </c>
      <c r="J125" s="123">
        <f>100-B125</f>
        <v>100</v>
      </c>
      <c r="K125" s="124">
        <f>K24+K44+K64+K73+K82+K96+K105+K114</f>
        <v>0</v>
      </c>
      <c r="L125" s="132"/>
      <c r="M125" s="124">
        <f>(M24+M44+M64+M73+M82+M96+M105+M114)/$J$125*100+M122</f>
        <v>0</v>
      </c>
      <c r="N125" s="124">
        <f>(N24+N44+N64+N73+N82+N96+N105+N114)/$J$125*100+N122</f>
        <v>0</v>
      </c>
      <c r="S125" s="239"/>
      <c r="T125" s="9"/>
      <c r="U125" s="247"/>
      <c r="V125" s="239"/>
      <c r="W125" s="239"/>
      <c r="X125" s="239"/>
      <c r="Y125" s="239"/>
    </row>
    <row r="126" spans="2:25" ht="45" customHeight="1">
      <c r="F126" s="22"/>
      <c r="G126" s="22"/>
      <c r="H126" s="133"/>
      <c r="I126" s="23" t="s">
        <v>291</v>
      </c>
      <c r="J126" s="121"/>
      <c r="K126" s="136">
        <f>K125/J125*100</f>
        <v>0</v>
      </c>
      <c r="L126" s="118"/>
      <c r="M126" s="132"/>
      <c r="N126" s="132"/>
      <c r="S126" s="239"/>
      <c r="T126" s="9"/>
      <c r="U126" s="247"/>
      <c r="V126" s="239"/>
      <c r="W126" s="239"/>
      <c r="X126" s="239"/>
      <c r="Y126" s="239"/>
    </row>
    <row r="127" spans="2:25" ht="45" customHeight="1">
      <c r="F127" s="22"/>
      <c r="G127" s="22"/>
      <c r="H127" s="6"/>
      <c r="I127" s="23" t="s">
        <v>292</v>
      </c>
      <c r="J127" s="123">
        <v>10</v>
      </c>
      <c r="K127" s="124">
        <f>K122</f>
        <v>0</v>
      </c>
      <c r="L127" s="119"/>
      <c r="M127" s="132"/>
      <c r="N127" s="132"/>
      <c r="S127" s="239"/>
      <c r="T127" s="9"/>
      <c r="U127" s="247"/>
      <c r="V127" s="239"/>
      <c r="W127" s="239"/>
      <c r="X127" s="239"/>
      <c r="Y127" s="239"/>
    </row>
    <row r="128" spans="2:25" ht="45" customHeight="1">
      <c r="I128" s="23" t="s">
        <v>293</v>
      </c>
      <c r="J128" s="122"/>
      <c r="K128" s="136">
        <f>K126+K127</f>
        <v>0</v>
      </c>
      <c r="M128" s="132"/>
      <c r="N128" s="132"/>
      <c r="U128" s="244"/>
      <c r="V128" s="228"/>
      <c r="W128" s="228"/>
      <c r="X128" s="228"/>
      <c r="Y128" s="228"/>
    </row>
    <row r="129" spans="4:25">
      <c r="U129" s="244"/>
      <c r="V129" s="228"/>
      <c r="W129" s="228"/>
      <c r="X129" s="228"/>
      <c r="Y129" s="228"/>
    </row>
    <row r="130" spans="4:25">
      <c r="U130" s="244"/>
      <c r="V130" s="228"/>
      <c r="W130" s="228"/>
      <c r="X130" s="228"/>
      <c r="Y130" s="228"/>
    </row>
    <row r="131" spans="4:25">
      <c r="U131" s="244"/>
      <c r="V131" s="228"/>
      <c r="W131" s="228"/>
      <c r="X131" s="228"/>
      <c r="Y131" s="228"/>
    </row>
    <row r="132" spans="4:25">
      <c r="U132" s="244"/>
      <c r="V132" s="228"/>
      <c r="W132" s="228"/>
      <c r="X132" s="228"/>
      <c r="Y132" s="228"/>
    </row>
    <row r="133" spans="4:25" ht="38.25" hidden="1" customHeight="1">
      <c r="D133" s="8" t="s">
        <v>14</v>
      </c>
      <c r="O133" s="163" t="s">
        <v>294</v>
      </c>
      <c r="P133" s="216" t="s">
        <v>295</v>
      </c>
      <c r="Q133" s="166" t="s">
        <v>296</v>
      </c>
      <c r="R133" s="216" t="s">
        <v>297</v>
      </c>
      <c r="U133" s="244"/>
      <c r="V133" s="228"/>
      <c r="W133" s="228"/>
      <c r="X133" s="228"/>
      <c r="Y133" s="228"/>
    </row>
    <row r="134" spans="4:25" ht="38.25" hidden="1" customHeight="1">
      <c r="D134" s="8" t="s">
        <v>14</v>
      </c>
      <c r="N134" s="221" t="s">
        <v>120</v>
      </c>
      <c r="O134" s="222"/>
      <c r="P134" s="217">
        <f>COUNTIF(P7:P113,"Core")</f>
        <v>0</v>
      </c>
      <c r="Q134" s="218">
        <f>COUNTIF(Q7:Q113,"Not Awarded - Major Non-compliance")</f>
        <v>0</v>
      </c>
      <c r="R134" s="223"/>
      <c r="U134" s="244"/>
      <c r="V134" s="228"/>
      <c r="W134" s="228"/>
      <c r="X134" s="228"/>
      <c r="Y134" s="228"/>
    </row>
    <row r="135" spans="4:25" ht="38.25" hidden="1" customHeight="1">
      <c r="D135" s="8" t="s">
        <v>14</v>
      </c>
      <c r="N135" s="221" t="s">
        <v>298</v>
      </c>
      <c r="O135" s="217">
        <f>COUNTIF(O7:O113,"Stage 1")</f>
        <v>0</v>
      </c>
      <c r="P135" s="217">
        <f>COUNTIF(P7:P113,"Stage 1")</f>
        <v>0</v>
      </c>
      <c r="Q135" s="218">
        <f>COUNTIF(Q7:Q113,"Not Awarded - Major Non-compliance")</f>
        <v>0</v>
      </c>
      <c r="R135" s="219" t="str">
        <f>IF(Q135&gt;P135*0.5, "Go to Stage 2", "Assessment Complete")</f>
        <v>Assessment Complete</v>
      </c>
      <c r="U135" s="244"/>
      <c r="V135" s="228"/>
      <c r="W135" s="228"/>
      <c r="X135" s="228"/>
      <c r="Y135" s="228"/>
    </row>
    <row r="136" spans="4:25" ht="38.25" hidden="1" customHeight="1">
      <c r="D136" s="8" t="s">
        <v>14</v>
      </c>
      <c r="N136" s="221" t="s">
        <v>129</v>
      </c>
      <c r="O136" s="217">
        <f>COUNTIF(O7:O113,"Stage 2")</f>
        <v>0</v>
      </c>
      <c r="P136" s="217">
        <f>COUNTIF(P7:P113,"Stage 2")</f>
        <v>0</v>
      </c>
      <c r="Q136" s="218">
        <f>COUNTIF(Q7:Q113,"Not Awarded - Major Non-compliance")</f>
        <v>0</v>
      </c>
      <c r="R136" s="219" t="str">
        <f>IF(AND(R135="Go to Stage 2", P136=0),R135,IF(Q136&gt;SUM(P135:P136)*0.5,"Go to Stage 3","Assessment Complete"))</f>
        <v>Assessment Complete</v>
      </c>
      <c r="U136" s="244"/>
      <c r="V136" s="228"/>
      <c r="W136" s="228"/>
      <c r="X136" s="228"/>
      <c r="Y136" s="228"/>
    </row>
    <row r="137" spans="4:25" ht="38.25" hidden="1" customHeight="1">
      <c r="D137" s="8" t="s">
        <v>14</v>
      </c>
      <c r="N137" s="227" t="s">
        <v>299</v>
      </c>
      <c r="O137" s="217">
        <f>COUNTIF(O7:O113,"Stage 3")</f>
        <v>0</v>
      </c>
      <c r="P137" s="217">
        <f>COUNTIF(P7:P113,"Stage 3")</f>
        <v>0</v>
      </c>
      <c r="Q137" s="218">
        <f>COUNTIF(Q7:Q113,"Not Awarded - Major Non-compliance")</f>
        <v>0</v>
      </c>
      <c r="R137" s="224"/>
      <c r="U137" s="244"/>
      <c r="V137" s="228"/>
      <c r="W137" s="228"/>
      <c r="X137" s="228"/>
      <c r="Y137" s="228"/>
    </row>
    <row r="138" spans="4:25" ht="38.25" hidden="1" customHeight="1">
      <c r="D138" s="8" t="s">
        <v>14</v>
      </c>
      <c r="O138" s="225"/>
      <c r="P138" s="226"/>
      <c r="Q138" s="220">
        <f>COUNTIF(Q7:Q113,"Awarded - Compliant")+COUNTIF(Q7:Q113,"Awarded - Minor non-Compliance")+COUNTIF(Q7:Q113,"Not Awarded - Major non-compliance")</f>
        <v>0</v>
      </c>
      <c r="R138" s="219" t="str">
        <f>IF(R135="Assessment Complete",R135,IF(R136="Assessment Complete",R136,IF(P134&gt;=1,R136,"Assessment Complete")))</f>
        <v>Assessment Complete</v>
      </c>
      <c r="U138" s="244"/>
      <c r="V138" s="228"/>
      <c r="W138" s="228"/>
      <c r="X138" s="228"/>
      <c r="Y138" s="228"/>
    </row>
    <row r="139" spans="4:25">
      <c r="O139" s="162"/>
      <c r="P139" s="162"/>
      <c r="Q139" s="180"/>
      <c r="R139" s="52"/>
      <c r="U139" s="244"/>
      <c r="V139" s="228"/>
      <c r="W139" s="228"/>
      <c r="X139" s="228"/>
      <c r="Y139" s="228"/>
    </row>
    <row r="140" spans="4:25">
      <c r="U140" s="244"/>
      <c r="V140" s="228"/>
      <c r="W140" s="228"/>
      <c r="X140" s="228"/>
      <c r="Y140" s="228"/>
    </row>
    <row r="141" spans="4:25">
      <c r="U141" s="244"/>
      <c r="V141" s="228"/>
      <c r="W141" s="228"/>
      <c r="X141" s="228"/>
      <c r="Y141" s="228"/>
    </row>
    <row r="142" spans="4:25">
      <c r="U142" s="244"/>
      <c r="V142" s="228"/>
      <c r="W142" s="228"/>
      <c r="X142" s="228"/>
      <c r="Y142" s="228"/>
    </row>
    <row r="143" spans="4:25">
      <c r="U143" s="244"/>
      <c r="V143" s="228"/>
      <c r="W143" s="228"/>
      <c r="X143" s="228"/>
      <c r="Y143" s="228"/>
    </row>
    <row r="144" spans="4:25">
      <c r="U144" s="244"/>
      <c r="V144" s="228"/>
      <c r="W144" s="228"/>
      <c r="X144" s="228"/>
      <c r="Y144" s="228"/>
    </row>
  </sheetData>
  <mergeCells count="58">
    <mergeCell ref="F8:F12"/>
    <mergeCell ref="G8:G12"/>
    <mergeCell ref="F1:I1"/>
    <mergeCell ref="U1:W1"/>
    <mergeCell ref="G2:H2"/>
    <mergeCell ref="U2:W3"/>
    <mergeCell ref="G3:H3"/>
    <mergeCell ref="F30:F32"/>
    <mergeCell ref="G30:G32"/>
    <mergeCell ref="F15:F16"/>
    <mergeCell ref="G15:G16"/>
    <mergeCell ref="F17:F18"/>
    <mergeCell ref="G17:G18"/>
    <mergeCell ref="F19:F21"/>
    <mergeCell ref="G19:G21"/>
    <mergeCell ref="F22:F23"/>
    <mergeCell ref="G22:G23"/>
    <mergeCell ref="F26:I26"/>
    <mergeCell ref="F27:F29"/>
    <mergeCell ref="G27:G29"/>
    <mergeCell ref="L47:L53"/>
    <mergeCell ref="F33:F36"/>
    <mergeCell ref="G33:G36"/>
    <mergeCell ref="F37:F39"/>
    <mergeCell ref="G37:G39"/>
    <mergeCell ref="F40:F41"/>
    <mergeCell ref="G40:G41"/>
    <mergeCell ref="F42:F43"/>
    <mergeCell ref="G42:G43"/>
    <mergeCell ref="F46:I46"/>
    <mergeCell ref="F47:F61"/>
    <mergeCell ref="G47:G61"/>
    <mergeCell ref="F62:F63"/>
    <mergeCell ref="G62:G63"/>
    <mergeCell ref="F67:F72"/>
    <mergeCell ref="G67:G72"/>
    <mergeCell ref="F76:F81"/>
    <mergeCell ref="G76:G81"/>
    <mergeCell ref="L87:L89"/>
    <mergeCell ref="F90:F92"/>
    <mergeCell ref="G90:G92"/>
    <mergeCell ref="F98:I98"/>
    <mergeCell ref="M98:N98"/>
    <mergeCell ref="F94:F95"/>
    <mergeCell ref="G94:G95"/>
    <mergeCell ref="F85:F89"/>
    <mergeCell ref="G85:G89"/>
    <mergeCell ref="F99:F100"/>
    <mergeCell ref="G99:G100"/>
    <mergeCell ref="F101:F103"/>
    <mergeCell ref="G101:G103"/>
    <mergeCell ref="J117:J121"/>
    <mergeCell ref="F107:I107"/>
    <mergeCell ref="F108:F109"/>
    <mergeCell ref="G108:G109"/>
    <mergeCell ref="F110:F111"/>
    <mergeCell ref="G110:G111"/>
    <mergeCell ref="F116:I116"/>
  </mergeCells>
  <conditionalFormatting sqref="G64">
    <cfRule type="expression" dxfId="50" priority="51">
      <formula>$J$63=0</formula>
    </cfRule>
  </conditionalFormatting>
  <conditionalFormatting sqref="H25:J25">
    <cfRule type="expression" dxfId="49" priority="52">
      <formula>#REF!=0</formula>
    </cfRule>
  </conditionalFormatting>
  <conditionalFormatting sqref="H28:J32">
    <cfRule type="expression" dxfId="48" priority="22">
      <formula>$C28=TRUE</formula>
    </cfRule>
  </conditionalFormatting>
  <conditionalFormatting sqref="H34:J36">
    <cfRule type="expression" dxfId="47" priority="21">
      <formula>$C34=TRUE</formula>
    </cfRule>
  </conditionalFormatting>
  <conditionalFormatting sqref="H38:J43">
    <cfRule type="expression" dxfId="46" priority="20">
      <formula>$C38=TRUE</formula>
    </cfRule>
  </conditionalFormatting>
  <conditionalFormatting sqref="H67:J67">
    <cfRule type="expression" dxfId="45" priority="49">
      <formula>$G$67=$AA$67</formula>
    </cfRule>
  </conditionalFormatting>
  <conditionalFormatting sqref="H68:J72">
    <cfRule type="expression" dxfId="44" priority="47">
      <formula>$G$67=$AA$68</formula>
    </cfRule>
  </conditionalFormatting>
  <conditionalFormatting sqref="H76:J76">
    <cfRule type="expression" dxfId="43" priority="45">
      <formula>$G$76=$AA$76</formula>
    </cfRule>
  </conditionalFormatting>
  <conditionalFormatting sqref="H77:J81">
    <cfRule type="expression" dxfId="42" priority="44">
      <formula>$G$76=$AA$77</formula>
    </cfRule>
  </conditionalFormatting>
  <conditionalFormatting sqref="H22:K22">
    <cfRule type="expression" dxfId="41" priority="10">
      <formula>$G$22=$AA$9</formula>
    </cfRule>
  </conditionalFormatting>
  <conditionalFormatting sqref="H23:K23">
    <cfRule type="expression" dxfId="40" priority="9">
      <formula>$G$22=$AA$8</formula>
    </cfRule>
  </conditionalFormatting>
  <conditionalFormatting sqref="H27:K27 K28:K43">
    <cfRule type="expression" dxfId="39" priority="24">
      <formula>$C27=TRUE</formula>
    </cfRule>
  </conditionalFormatting>
  <conditionalFormatting sqref="H47:K53">
    <cfRule type="expression" dxfId="38" priority="27">
      <formula>$G$47&lt;&gt;$AA$47</formula>
    </cfRule>
  </conditionalFormatting>
  <conditionalFormatting sqref="H54:K55">
    <cfRule type="expression" dxfId="37" priority="26">
      <formula>$G$47&lt;&gt;$AA$48</formula>
    </cfRule>
  </conditionalFormatting>
  <conditionalFormatting sqref="H56:K57">
    <cfRule type="expression" dxfId="36" priority="25">
      <formula>$G$47&lt;&gt;$AA$49</formula>
    </cfRule>
  </conditionalFormatting>
  <conditionalFormatting sqref="H58:K59">
    <cfRule type="expression" dxfId="35" priority="7">
      <formula>$G$47&lt;&gt;$AA$50</formula>
    </cfRule>
  </conditionalFormatting>
  <conditionalFormatting sqref="H60:K61">
    <cfRule type="expression" dxfId="34" priority="8">
      <formula>$G$47&lt;&gt;$AA$51</formula>
    </cfRule>
  </conditionalFormatting>
  <conditionalFormatting sqref="H62:K62">
    <cfRule type="expression" dxfId="33" priority="6">
      <formula>$G$62=$AA$63</formula>
    </cfRule>
  </conditionalFormatting>
  <conditionalFormatting sqref="H63:K63">
    <cfRule type="expression" dxfId="32" priority="5">
      <formula>$G$62=$AA$62</formula>
    </cfRule>
  </conditionalFormatting>
  <conditionalFormatting sqref="H69:K69">
    <cfRule type="expression" dxfId="31" priority="19">
      <formula>$C$69=TRUE</formula>
    </cfRule>
  </conditionalFormatting>
  <conditionalFormatting sqref="H70:K70">
    <cfRule type="expression" dxfId="30" priority="18">
      <formula>$C$70=TRUE</formula>
    </cfRule>
  </conditionalFormatting>
  <conditionalFormatting sqref="H80:K80">
    <cfRule type="expression" dxfId="29" priority="17">
      <formula>$C$80=TRUE</formula>
    </cfRule>
  </conditionalFormatting>
  <conditionalFormatting sqref="H81:K81">
    <cfRule type="expression" dxfId="28" priority="16">
      <formula>$C$81=TRUE</formula>
    </cfRule>
  </conditionalFormatting>
  <conditionalFormatting sqref="H85:K86">
    <cfRule type="expression" dxfId="27" priority="29">
      <formula>$G$85=$AA$86</formula>
    </cfRule>
  </conditionalFormatting>
  <conditionalFormatting sqref="H87:K89">
    <cfRule type="expression" dxfId="26" priority="28">
      <formula>$G$85=$AA$85</formula>
    </cfRule>
  </conditionalFormatting>
  <conditionalFormatting sqref="H89:K89">
    <cfRule type="expression" dxfId="25" priority="14">
      <formula>$C$89=TRUE</formula>
    </cfRule>
  </conditionalFormatting>
  <conditionalFormatting sqref="H90:K90">
    <cfRule type="expression" dxfId="24" priority="13">
      <formula>$C$90=TRUE</formula>
    </cfRule>
  </conditionalFormatting>
  <conditionalFormatting sqref="H91:K91">
    <cfRule type="expression" dxfId="23" priority="12">
      <formula>$C$91=TRUE</formula>
    </cfRule>
  </conditionalFormatting>
  <conditionalFormatting sqref="H92:K92">
    <cfRule type="expression" dxfId="22" priority="11">
      <formula>$C$92=TRUE</formula>
    </cfRule>
  </conditionalFormatting>
  <conditionalFormatting sqref="H94:K94">
    <cfRule type="expression" dxfId="21" priority="4">
      <formula>$G$94=$AA$95</formula>
    </cfRule>
  </conditionalFormatting>
  <conditionalFormatting sqref="H95:K95">
    <cfRule type="expression" dxfId="20" priority="3">
      <formula>$G$94=$AA$94</formula>
    </cfRule>
  </conditionalFormatting>
  <conditionalFormatting sqref="H103:K103">
    <cfRule type="expression" dxfId="19" priority="15">
      <formula>$C$103=TRUE</formula>
    </cfRule>
  </conditionalFormatting>
  <conditionalFormatting sqref="K20:K21">
    <cfRule type="expression" dxfId="18" priority="50">
      <formula>$G$19=$I$20</formula>
    </cfRule>
  </conditionalFormatting>
  <conditionalFormatting sqref="K67">
    <cfRule type="expression" dxfId="17" priority="48">
      <formula>$G$67=$AA$67</formula>
    </cfRule>
  </conditionalFormatting>
  <conditionalFormatting sqref="K68:K72">
    <cfRule type="expression" dxfId="16" priority="46">
      <formula>$G$67=$AA$68</formula>
    </cfRule>
  </conditionalFormatting>
  <conditionalFormatting sqref="K76">
    <cfRule type="expression" dxfId="15" priority="33">
      <formula>$G$76=$AA$76</formula>
    </cfRule>
  </conditionalFormatting>
  <conditionalFormatting sqref="K77:K81">
    <cfRule type="expression" dxfId="14" priority="34">
      <formula>$G$76=$AA$77</formula>
    </cfRule>
  </conditionalFormatting>
  <conditionalFormatting sqref="K108:K109">
    <cfRule type="expression" dxfId="13" priority="32">
      <formula>$G$84=$AA$85</formula>
    </cfRule>
  </conditionalFormatting>
  <conditionalFormatting sqref="K110">
    <cfRule type="expression" dxfId="12" priority="35">
      <formula>$G$47=$AA$50</formula>
    </cfRule>
  </conditionalFormatting>
  <conditionalFormatting sqref="K111:K113">
    <cfRule type="expression" dxfId="11" priority="31">
      <formula>$G$84=$AA$85</formula>
    </cfRule>
  </conditionalFormatting>
  <conditionalFormatting sqref="K117:K121">
    <cfRule type="expression" dxfId="10" priority="30">
      <formula>$G$84=$AA$85</formula>
    </cfRule>
  </conditionalFormatting>
  <conditionalFormatting sqref="S7:S23">
    <cfRule type="expression" dxfId="9" priority="42">
      <formula>Q7=$AC$11</formula>
    </cfRule>
  </conditionalFormatting>
  <conditionalFormatting sqref="S27:S43">
    <cfRule type="expression" dxfId="8" priority="41">
      <formula>Q27=$AC$11</formula>
    </cfRule>
  </conditionalFormatting>
  <conditionalFormatting sqref="S47:S63 S85:S95">
    <cfRule type="expression" dxfId="7" priority="43">
      <formula>Q47=$AC$11</formula>
    </cfRule>
  </conditionalFormatting>
  <conditionalFormatting sqref="S67:S72">
    <cfRule type="expression" dxfId="6" priority="40">
      <formula>Q67=$AC$11</formula>
    </cfRule>
  </conditionalFormatting>
  <conditionalFormatting sqref="S76:S81">
    <cfRule type="expression" dxfId="5" priority="39">
      <formula>Q76=$AC$11</formula>
    </cfRule>
  </conditionalFormatting>
  <conditionalFormatting sqref="S99:S104">
    <cfRule type="expression" dxfId="4" priority="38">
      <formula>Q99=$AC$11</formula>
    </cfRule>
  </conditionalFormatting>
  <conditionalFormatting sqref="S108:S113">
    <cfRule type="expression" dxfId="3" priority="37">
      <formula>Q108=$AC$11</formula>
    </cfRule>
  </conditionalFormatting>
  <conditionalFormatting sqref="S117:S121">
    <cfRule type="expression" dxfId="2" priority="36">
      <formula>Q117=$AC$11</formula>
    </cfRule>
  </conditionalFormatting>
  <conditionalFormatting sqref="U7:Y121">
    <cfRule type="expression" dxfId="1" priority="1">
      <formula>$Q7=$AC$11</formula>
    </cfRule>
    <cfRule type="expression" dxfId="0" priority="2">
      <formula>$Q7=$AC$11</formula>
    </cfRule>
  </conditionalFormatting>
  <dataValidations count="21">
    <dataValidation type="list" allowBlank="1" showInputMessage="1" showErrorMessage="1" promptTitle="Selection Required" prompt="Please indicate the project's desired pathway." sqref="G94:G95" xr:uid="{00000000-0002-0000-0500-000000000000}">
      <formula1>$AA$94:$AA$95</formula1>
    </dataValidation>
    <dataValidation type="decimal" operator="lessThanOrEqual" allowBlank="1" showInputMessage="1" showErrorMessage="1" sqref="K22:K23" xr:uid="{00000000-0002-0000-0500-000001000000}">
      <formula1>1</formula1>
    </dataValidation>
    <dataValidation type="list" allowBlank="1" showInputMessage="1" showErrorMessage="1" sqref="G65" xr:uid="{00000000-0002-0000-0500-000002000000}">
      <formula1>$AA$62:$AA$62</formula1>
    </dataValidation>
    <dataValidation type="list" allowBlank="1" showInputMessage="1" showErrorMessage="1" promptTitle="Selection Required" prompt="Please indicate the project's desired pathway." sqref="G62:G63" xr:uid="{00000000-0002-0000-0500-000003000000}">
      <formula1>$AA$62:$AA$63</formula1>
    </dataValidation>
    <dataValidation type="list" allowBlank="1" showInputMessage="1" showErrorMessage="1" promptTitle="Selection Required" prompt="Please indicate the project's desired pathway." sqref="G22:G23" xr:uid="{00000000-0002-0000-0500-000004000000}">
      <formula1>$AA$8:$AA$9</formula1>
    </dataValidation>
    <dataValidation type="list" allowBlank="1" showInputMessage="1" showErrorMessage="1" sqref="O108:O113 O99:O104 O85:O95 O76:O81 O67:O72 O27:O43 O7:O23 O47:O63" xr:uid="{00000000-0002-0000-0500-000005000000}">
      <formula1>$AB$10:$AB$12</formula1>
    </dataValidation>
    <dataValidation type="list" allowBlank="1" showInputMessage="1" showErrorMessage="1" sqref="O117:P121" xr:uid="{00000000-0002-0000-0500-000006000000}">
      <formula1>$AB$10</formula1>
    </dataValidation>
    <dataValidation type="list" allowBlank="1" showInputMessage="1" showErrorMessage="1" sqref="P99:P104 P85:P95 P76:P81 P67:P72 P27:P43 P108:P113 P7:P23 P47:P63" xr:uid="{00000000-0002-0000-0500-000007000000}">
      <formula1>$AB$9:$AB$12</formula1>
    </dataValidation>
    <dataValidation type="decimal" operator="lessThanOrEqual" allowBlank="1" showInputMessage="1" showErrorMessage="1" sqref="K117:K121" xr:uid="{00000000-0002-0000-0500-000008000000}">
      <formula1>10</formula1>
    </dataValidation>
    <dataValidation type="list" allowBlank="1" showInputMessage="1" showErrorMessage="1" promptTitle="Selection Required" prompt="Please indicate the project's desired pathway." sqref="G85:G89" xr:uid="{00000000-0002-0000-0500-000009000000}">
      <formula1>$AA$85:$AA$86</formula1>
    </dataValidation>
    <dataValidation type="list" allowBlank="1" showInputMessage="1" showErrorMessage="1" sqref="Q117:Q121 Q108:Q113 Q99:Q104 Q85:Q95 Q76:Q81 Q67:Q72 Q27:Q43 Q7:Q23 Q47:Q63" xr:uid="{00000000-0002-0000-0500-00000A000000}">
      <formula1>$AC$9:$AC$11</formula1>
    </dataValidation>
    <dataValidation type="list" allowBlank="1" showInputMessage="1" showErrorMessage="1" sqref="K56 K60 K54 K58 K99 K110 K47 K8 K101 K19 K17" xr:uid="{00000000-0002-0000-0500-00000B000000}">
      <formula1>$AD$7:$AD$9</formula1>
    </dataValidation>
    <dataValidation type="list" allowBlank="1" showInputMessage="1" showErrorMessage="1" sqref="G83" xr:uid="{00000000-0002-0000-0500-00000C000000}">
      <formula1>$T$76:$T$77</formula1>
    </dataValidation>
    <dataValidation type="list" allowBlank="1" showInputMessage="1" showErrorMessage="1" sqref="G25" xr:uid="{00000000-0002-0000-0500-00000D000000}">
      <formula1>$T$23:$T$23</formula1>
    </dataValidation>
    <dataValidation type="decimal" allowBlank="1" showInputMessage="1" showErrorMessage="1" sqref="K18 K7 K20:K21 K9:K16" xr:uid="{00000000-0002-0000-0500-00000E000000}">
      <formula1>0</formula1>
      <formula2>J7</formula2>
    </dataValidation>
    <dataValidation type="list" allowBlank="1" showInputMessage="1" showErrorMessage="1" sqref="G74" xr:uid="{00000000-0002-0000-0500-00000F000000}">
      <formula1>$AA$67:$AA$68</formula1>
    </dataValidation>
    <dataValidation type="list" allowBlank="1" showInputMessage="1" showErrorMessage="1" promptTitle="Selection Required" prompt="Please indicate the project's desired pathway." sqref="G67:G72" xr:uid="{00000000-0002-0000-0500-000010000000}">
      <formula1>$AA$67:$AA$68</formula1>
    </dataValidation>
    <dataValidation type="list" allowBlank="1" showInputMessage="1" showErrorMessage="1" promptTitle="Selection Required" prompt="Please indicate the project's desired pathway." sqref="G76:G81" xr:uid="{00000000-0002-0000-0500-000011000000}">
      <formula1>$AA$76:$AA$77</formula1>
    </dataValidation>
    <dataValidation type="decimal" operator="lessThanOrEqual" allowBlank="1" showInputMessage="1" showErrorMessage="1" sqref="K111:K113 K122 K102:K104 K61:K63 K38:K43 K67:K72 K76:K81 K108:K109 K100 K27:K32 K34:K36 K85:K95 K55 K57 K59 K48:K53" xr:uid="{00000000-0002-0000-0500-000012000000}">
      <formula1>J27</formula1>
    </dataValidation>
    <dataValidation type="list" operator="lessThanOrEqual" allowBlank="1" showInputMessage="1" showErrorMessage="1" sqref="K33 K37" xr:uid="{00000000-0002-0000-0500-000013000000}">
      <formula1>$AD$7:$AD$9</formula1>
    </dataValidation>
    <dataValidation type="list" allowBlank="1" showInputMessage="1" showErrorMessage="1" promptTitle="Selection Required" prompt="Please indicate the project's desired pathway." sqref="G47:G61" xr:uid="{00000000-0002-0000-0500-000014000000}">
      <formula1>$AA$47:$AA$51</formula1>
    </dataValidation>
  </dataValidations>
  <pageMargins left="0.70866141732283472" right="0.70866141732283472" top="0.74803149606299213" bottom="0.74803149606299213" header="0.31496062992125984" footer="0.31496062992125984"/>
  <pageSetup paperSize="9" scale="55"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4</xdr:col>
                    <xdr:colOff>38100</xdr:colOff>
                    <xdr:row>27</xdr:row>
                    <xdr:rowOff>175260</xdr:rowOff>
                  </from>
                  <to>
                    <xdr:col>5</xdr:col>
                    <xdr:colOff>563880</xdr:colOff>
                    <xdr:row>27</xdr:row>
                    <xdr:rowOff>381000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4</xdr:col>
                    <xdr:colOff>38100</xdr:colOff>
                    <xdr:row>26</xdr:row>
                    <xdr:rowOff>182880</xdr:rowOff>
                  </from>
                  <to>
                    <xdr:col>5</xdr:col>
                    <xdr:colOff>563880</xdr:colOff>
                    <xdr:row>26</xdr:row>
                    <xdr:rowOff>396240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4</xdr:col>
                    <xdr:colOff>38100</xdr:colOff>
                    <xdr:row>28</xdr:row>
                    <xdr:rowOff>175260</xdr:rowOff>
                  </from>
                  <to>
                    <xdr:col>5</xdr:col>
                    <xdr:colOff>563880</xdr:colOff>
                    <xdr:row>28</xdr:row>
                    <xdr:rowOff>381000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4</xdr:col>
                    <xdr:colOff>38100</xdr:colOff>
                    <xdr:row>29</xdr:row>
                    <xdr:rowOff>175260</xdr:rowOff>
                  </from>
                  <to>
                    <xdr:col>5</xdr:col>
                    <xdr:colOff>563880</xdr:colOff>
                    <xdr:row>29</xdr:row>
                    <xdr:rowOff>381000</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4</xdr:col>
                    <xdr:colOff>38100</xdr:colOff>
                    <xdr:row>30</xdr:row>
                    <xdr:rowOff>175260</xdr:rowOff>
                  </from>
                  <to>
                    <xdr:col>5</xdr:col>
                    <xdr:colOff>563880</xdr:colOff>
                    <xdr:row>30</xdr:row>
                    <xdr:rowOff>381000</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4</xdr:col>
                    <xdr:colOff>38100</xdr:colOff>
                    <xdr:row>31</xdr:row>
                    <xdr:rowOff>175260</xdr:rowOff>
                  </from>
                  <to>
                    <xdr:col>5</xdr:col>
                    <xdr:colOff>563880</xdr:colOff>
                    <xdr:row>31</xdr:row>
                    <xdr:rowOff>381000</xdr:rowOff>
                  </to>
                </anchor>
              </controlPr>
            </control>
          </mc:Choice>
        </mc:AlternateContent>
        <mc:AlternateContent xmlns:mc="http://schemas.openxmlformats.org/markup-compatibility/2006">
          <mc:Choice Requires="x14">
            <control shapeId="22535" r:id="rId10" name="Check Box 7">
              <controlPr defaultSize="0" autoFill="0" autoLine="0" autoPict="0">
                <anchor moveWithCells="1">
                  <from>
                    <xdr:col>4</xdr:col>
                    <xdr:colOff>38100</xdr:colOff>
                    <xdr:row>33</xdr:row>
                    <xdr:rowOff>175260</xdr:rowOff>
                  </from>
                  <to>
                    <xdr:col>5</xdr:col>
                    <xdr:colOff>563880</xdr:colOff>
                    <xdr:row>33</xdr:row>
                    <xdr:rowOff>381000</xdr:rowOff>
                  </to>
                </anchor>
              </controlPr>
            </control>
          </mc:Choice>
        </mc:AlternateContent>
        <mc:AlternateContent xmlns:mc="http://schemas.openxmlformats.org/markup-compatibility/2006">
          <mc:Choice Requires="x14">
            <control shapeId="22536" r:id="rId11" name="Check Box 8">
              <controlPr defaultSize="0" autoFill="0" autoLine="0" autoPict="0">
                <anchor moveWithCells="1">
                  <from>
                    <xdr:col>4</xdr:col>
                    <xdr:colOff>38100</xdr:colOff>
                    <xdr:row>34</xdr:row>
                    <xdr:rowOff>175260</xdr:rowOff>
                  </from>
                  <to>
                    <xdr:col>5</xdr:col>
                    <xdr:colOff>563880</xdr:colOff>
                    <xdr:row>34</xdr:row>
                    <xdr:rowOff>381000</xdr:rowOff>
                  </to>
                </anchor>
              </controlPr>
            </control>
          </mc:Choice>
        </mc:AlternateContent>
        <mc:AlternateContent xmlns:mc="http://schemas.openxmlformats.org/markup-compatibility/2006">
          <mc:Choice Requires="x14">
            <control shapeId="22537" r:id="rId12" name="Check Box 9">
              <controlPr defaultSize="0" autoFill="0" autoLine="0" autoPict="0">
                <anchor moveWithCells="1">
                  <from>
                    <xdr:col>4</xdr:col>
                    <xdr:colOff>38100</xdr:colOff>
                    <xdr:row>35</xdr:row>
                    <xdr:rowOff>175260</xdr:rowOff>
                  </from>
                  <to>
                    <xdr:col>5</xdr:col>
                    <xdr:colOff>563880</xdr:colOff>
                    <xdr:row>35</xdr:row>
                    <xdr:rowOff>381000</xdr:rowOff>
                  </to>
                </anchor>
              </controlPr>
            </control>
          </mc:Choice>
        </mc:AlternateContent>
        <mc:AlternateContent xmlns:mc="http://schemas.openxmlformats.org/markup-compatibility/2006">
          <mc:Choice Requires="x14">
            <control shapeId="22538" r:id="rId13" name="Check Box 10">
              <controlPr defaultSize="0" autoFill="0" autoLine="0" autoPict="0">
                <anchor moveWithCells="1">
                  <from>
                    <xdr:col>4</xdr:col>
                    <xdr:colOff>38100</xdr:colOff>
                    <xdr:row>37</xdr:row>
                    <xdr:rowOff>175260</xdr:rowOff>
                  </from>
                  <to>
                    <xdr:col>5</xdr:col>
                    <xdr:colOff>563880</xdr:colOff>
                    <xdr:row>37</xdr:row>
                    <xdr:rowOff>381000</xdr:rowOff>
                  </to>
                </anchor>
              </controlPr>
            </control>
          </mc:Choice>
        </mc:AlternateContent>
        <mc:AlternateContent xmlns:mc="http://schemas.openxmlformats.org/markup-compatibility/2006">
          <mc:Choice Requires="x14">
            <control shapeId="22539" r:id="rId14" name="Check Box 11">
              <controlPr defaultSize="0" autoFill="0" autoLine="0" autoPict="0">
                <anchor moveWithCells="1">
                  <from>
                    <xdr:col>4</xdr:col>
                    <xdr:colOff>38100</xdr:colOff>
                    <xdr:row>38</xdr:row>
                    <xdr:rowOff>175260</xdr:rowOff>
                  </from>
                  <to>
                    <xdr:col>5</xdr:col>
                    <xdr:colOff>563880</xdr:colOff>
                    <xdr:row>38</xdr:row>
                    <xdr:rowOff>381000</xdr:rowOff>
                  </to>
                </anchor>
              </controlPr>
            </control>
          </mc:Choice>
        </mc:AlternateContent>
        <mc:AlternateContent xmlns:mc="http://schemas.openxmlformats.org/markup-compatibility/2006">
          <mc:Choice Requires="x14">
            <control shapeId="22540" r:id="rId15" name="Check Box 12">
              <controlPr defaultSize="0" autoFill="0" autoLine="0" autoPict="0">
                <anchor moveWithCells="1">
                  <from>
                    <xdr:col>4</xdr:col>
                    <xdr:colOff>38100</xdr:colOff>
                    <xdr:row>39</xdr:row>
                    <xdr:rowOff>175260</xdr:rowOff>
                  </from>
                  <to>
                    <xdr:col>5</xdr:col>
                    <xdr:colOff>563880</xdr:colOff>
                    <xdr:row>39</xdr:row>
                    <xdr:rowOff>381000</xdr:rowOff>
                  </to>
                </anchor>
              </controlPr>
            </control>
          </mc:Choice>
        </mc:AlternateContent>
        <mc:AlternateContent xmlns:mc="http://schemas.openxmlformats.org/markup-compatibility/2006">
          <mc:Choice Requires="x14">
            <control shapeId="22541" r:id="rId16" name="Check Box 13">
              <controlPr defaultSize="0" autoFill="0" autoLine="0" autoPict="0">
                <anchor moveWithCells="1">
                  <from>
                    <xdr:col>4</xdr:col>
                    <xdr:colOff>38100</xdr:colOff>
                    <xdr:row>40</xdr:row>
                    <xdr:rowOff>175260</xdr:rowOff>
                  </from>
                  <to>
                    <xdr:col>5</xdr:col>
                    <xdr:colOff>563880</xdr:colOff>
                    <xdr:row>40</xdr:row>
                    <xdr:rowOff>381000</xdr:rowOff>
                  </to>
                </anchor>
              </controlPr>
            </control>
          </mc:Choice>
        </mc:AlternateContent>
        <mc:AlternateContent xmlns:mc="http://schemas.openxmlformats.org/markup-compatibility/2006">
          <mc:Choice Requires="x14">
            <control shapeId="22542" r:id="rId17" name="Check Box 14">
              <controlPr defaultSize="0" autoFill="0" autoLine="0" autoPict="0">
                <anchor moveWithCells="1">
                  <from>
                    <xdr:col>4</xdr:col>
                    <xdr:colOff>38100</xdr:colOff>
                    <xdr:row>41</xdr:row>
                    <xdr:rowOff>175260</xdr:rowOff>
                  </from>
                  <to>
                    <xdr:col>5</xdr:col>
                    <xdr:colOff>563880</xdr:colOff>
                    <xdr:row>41</xdr:row>
                    <xdr:rowOff>381000</xdr:rowOff>
                  </to>
                </anchor>
              </controlPr>
            </control>
          </mc:Choice>
        </mc:AlternateContent>
        <mc:AlternateContent xmlns:mc="http://schemas.openxmlformats.org/markup-compatibility/2006">
          <mc:Choice Requires="x14">
            <control shapeId="22543" r:id="rId18" name="Check Box 15">
              <controlPr defaultSize="0" autoFill="0" autoLine="0" autoPict="0">
                <anchor moveWithCells="1">
                  <from>
                    <xdr:col>4</xdr:col>
                    <xdr:colOff>38100</xdr:colOff>
                    <xdr:row>42</xdr:row>
                    <xdr:rowOff>175260</xdr:rowOff>
                  </from>
                  <to>
                    <xdr:col>5</xdr:col>
                    <xdr:colOff>563880</xdr:colOff>
                    <xdr:row>42</xdr:row>
                    <xdr:rowOff>381000</xdr:rowOff>
                  </to>
                </anchor>
              </controlPr>
            </control>
          </mc:Choice>
        </mc:AlternateContent>
        <mc:AlternateContent xmlns:mc="http://schemas.openxmlformats.org/markup-compatibility/2006">
          <mc:Choice Requires="x14">
            <control shapeId="22544" r:id="rId19" name="Check Box 16">
              <controlPr defaultSize="0" autoFill="0" autoLine="0" autoPict="0">
                <anchor moveWithCells="1">
                  <from>
                    <xdr:col>4</xdr:col>
                    <xdr:colOff>38100</xdr:colOff>
                    <xdr:row>68</xdr:row>
                    <xdr:rowOff>175260</xdr:rowOff>
                  </from>
                  <to>
                    <xdr:col>5</xdr:col>
                    <xdr:colOff>563880</xdr:colOff>
                    <xdr:row>68</xdr:row>
                    <xdr:rowOff>381000</xdr:rowOff>
                  </to>
                </anchor>
              </controlPr>
            </control>
          </mc:Choice>
        </mc:AlternateContent>
        <mc:AlternateContent xmlns:mc="http://schemas.openxmlformats.org/markup-compatibility/2006">
          <mc:Choice Requires="x14">
            <control shapeId="22545" r:id="rId20" name="Check Box 17">
              <controlPr defaultSize="0" autoFill="0" autoLine="0" autoPict="0">
                <anchor moveWithCells="1">
                  <from>
                    <xdr:col>4</xdr:col>
                    <xdr:colOff>38100</xdr:colOff>
                    <xdr:row>69</xdr:row>
                    <xdr:rowOff>175260</xdr:rowOff>
                  </from>
                  <to>
                    <xdr:col>5</xdr:col>
                    <xdr:colOff>563880</xdr:colOff>
                    <xdr:row>69</xdr:row>
                    <xdr:rowOff>381000</xdr:rowOff>
                  </to>
                </anchor>
              </controlPr>
            </control>
          </mc:Choice>
        </mc:AlternateContent>
        <mc:AlternateContent xmlns:mc="http://schemas.openxmlformats.org/markup-compatibility/2006">
          <mc:Choice Requires="x14">
            <control shapeId="22546" r:id="rId21" name="Check Box 18">
              <controlPr defaultSize="0" autoFill="0" autoLine="0" autoPict="0">
                <anchor moveWithCells="1">
                  <from>
                    <xdr:col>4</xdr:col>
                    <xdr:colOff>38100</xdr:colOff>
                    <xdr:row>79</xdr:row>
                    <xdr:rowOff>175260</xdr:rowOff>
                  </from>
                  <to>
                    <xdr:col>5</xdr:col>
                    <xdr:colOff>563880</xdr:colOff>
                    <xdr:row>79</xdr:row>
                    <xdr:rowOff>381000</xdr:rowOff>
                  </to>
                </anchor>
              </controlPr>
            </control>
          </mc:Choice>
        </mc:AlternateContent>
        <mc:AlternateContent xmlns:mc="http://schemas.openxmlformats.org/markup-compatibility/2006">
          <mc:Choice Requires="x14">
            <control shapeId="22547" r:id="rId22" name="Check Box 19">
              <controlPr defaultSize="0" autoFill="0" autoLine="0" autoPict="0">
                <anchor moveWithCells="1">
                  <from>
                    <xdr:col>4</xdr:col>
                    <xdr:colOff>38100</xdr:colOff>
                    <xdr:row>80</xdr:row>
                    <xdr:rowOff>175260</xdr:rowOff>
                  </from>
                  <to>
                    <xdr:col>5</xdr:col>
                    <xdr:colOff>563880</xdr:colOff>
                    <xdr:row>80</xdr:row>
                    <xdr:rowOff>381000</xdr:rowOff>
                  </to>
                </anchor>
              </controlPr>
            </control>
          </mc:Choice>
        </mc:AlternateContent>
        <mc:AlternateContent xmlns:mc="http://schemas.openxmlformats.org/markup-compatibility/2006">
          <mc:Choice Requires="x14">
            <control shapeId="22548" r:id="rId23" name="Check Box 20">
              <controlPr defaultSize="0" autoFill="0" autoLine="0" autoPict="0">
                <anchor moveWithCells="1">
                  <from>
                    <xdr:col>4</xdr:col>
                    <xdr:colOff>38100</xdr:colOff>
                    <xdr:row>102</xdr:row>
                    <xdr:rowOff>175260</xdr:rowOff>
                  </from>
                  <to>
                    <xdr:col>5</xdr:col>
                    <xdr:colOff>563880</xdr:colOff>
                    <xdr:row>102</xdr:row>
                    <xdr:rowOff>381000</xdr:rowOff>
                  </to>
                </anchor>
              </controlPr>
            </control>
          </mc:Choice>
        </mc:AlternateContent>
        <mc:AlternateContent xmlns:mc="http://schemas.openxmlformats.org/markup-compatibility/2006">
          <mc:Choice Requires="x14">
            <control shapeId="22549" r:id="rId24" name="Check Box 21">
              <controlPr defaultSize="0" autoFill="0" autoLine="0" autoPict="0">
                <anchor moveWithCells="1">
                  <from>
                    <xdr:col>4</xdr:col>
                    <xdr:colOff>38100</xdr:colOff>
                    <xdr:row>89</xdr:row>
                    <xdr:rowOff>175260</xdr:rowOff>
                  </from>
                  <to>
                    <xdr:col>5</xdr:col>
                    <xdr:colOff>563880</xdr:colOff>
                    <xdr:row>89</xdr:row>
                    <xdr:rowOff>381000</xdr:rowOff>
                  </to>
                </anchor>
              </controlPr>
            </control>
          </mc:Choice>
        </mc:AlternateContent>
        <mc:AlternateContent xmlns:mc="http://schemas.openxmlformats.org/markup-compatibility/2006">
          <mc:Choice Requires="x14">
            <control shapeId="22550" r:id="rId25" name="Check Box 22">
              <controlPr defaultSize="0" autoFill="0" autoLine="0" autoPict="0">
                <anchor moveWithCells="1">
                  <from>
                    <xdr:col>4</xdr:col>
                    <xdr:colOff>38100</xdr:colOff>
                    <xdr:row>90</xdr:row>
                    <xdr:rowOff>175260</xdr:rowOff>
                  </from>
                  <to>
                    <xdr:col>5</xdr:col>
                    <xdr:colOff>563880</xdr:colOff>
                    <xdr:row>90</xdr:row>
                    <xdr:rowOff>381000</xdr:rowOff>
                  </to>
                </anchor>
              </controlPr>
            </control>
          </mc:Choice>
        </mc:AlternateContent>
        <mc:AlternateContent xmlns:mc="http://schemas.openxmlformats.org/markup-compatibility/2006">
          <mc:Choice Requires="x14">
            <control shapeId="22551" r:id="rId26" name="Check Box 23">
              <controlPr defaultSize="0" autoFill="0" autoLine="0" autoPict="0">
                <anchor moveWithCells="1">
                  <from>
                    <xdr:col>4</xdr:col>
                    <xdr:colOff>38100</xdr:colOff>
                    <xdr:row>91</xdr:row>
                    <xdr:rowOff>175260</xdr:rowOff>
                  </from>
                  <to>
                    <xdr:col>5</xdr:col>
                    <xdr:colOff>563880</xdr:colOff>
                    <xdr:row>91</xdr:row>
                    <xdr:rowOff>381000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2985c86-f8c2-4ffb-9ed4-056f10e7bf99" xsi:nil="true"/>
    <lcf76f155ced4ddcb4097134ff3c332f xmlns="a5091d4f-8901-46df-85f4-029614b39d2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41C3597F76DEA4A8B37024205BF4B46" ma:contentTypeVersion="18" ma:contentTypeDescription="Create a new document." ma:contentTypeScope="" ma:versionID="bc699663265b67edb9bf5ae757a6233d">
  <xsd:schema xmlns:xsd="http://www.w3.org/2001/XMLSchema" xmlns:xs="http://www.w3.org/2001/XMLSchema" xmlns:p="http://schemas.microsoft.com/office/2006/metadata/properties" xmlns:ns2="a5091d4f-8901-46df-85f4-029614b39d2e" xmlns:ns3="52985c86-f8c2-4ffb-9ed4-056f10e7bf99" targetNamespace="http://schemas.microsoft.com/office/2006/metadata/properties" ma:root="true" ma:fieldsID="40639ba445f9da2e593416148d477ac8" ns2:_="" ns3:_="">
    <xsd:import namespace="a5091d4f-8901-46df-85f4-029614b39d2e"/>
    <xsd:import namespace="52985c86-f8c2-4ffb-9ed4-056f10e7bf99"/>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091d4f-8901-46df-85f4-029614b39d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f39ea20-3bab-4327-8f6b-3db4142d071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2985c86-f8c2-4ffb-9ed4-056f10e7bf99"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f71b23a-5fce-4da9-9150-57ae8890a66e}" ma:internalName="TaxCatchAll" ma:showField="CatchAllData" ma:web="52985c86-f8c2-4ffb-9ed4-056f10e7bf9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361B09-96C6-4360-BD1E-621CA056C028}"/>
</file>

<file path=customXml/itemProps2.xml><?xml version="1.0" encoding="utf-8"?>
<ds:datastoreItem xmlns:ds="http://schemas.openxmlformats.org/officeDocument/2006/customXml" ds:itemID="{9C4E3739-CE20-47DF-A3C9-472D2B920148}"/>
</file>

<file path=customXml/itemProps3.xml><?xml version="1.0" encoding="utf-8"?>
<ds:datastoreItem xmlns:ds="http://schemas.openxmlformats.org/officeDocument/2006/customXml" ds:itemID="{05129CBF-4AEE-48BB-950D-B32F81F0F5C9}"/>
</file>

<file path=docProps/app.xml><?xml version="1.0" encoding="utf-8"?>
<Properties xmlns="http://schemas.openxmlformats.org/officeDocument/2006/extended-properties" xmlns:vt="http://schemas.openxmlformats.org/officeDocument/2006/docPropsVTypes">
  <Application>Microsoft Excel Online</Application>
  <Manager/>
  <Company>Toshiba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rmilagre</dc:creator>
  <cp:keywords/>
  <dc:description/>
  <cp:lastModifiedBy/>
  <cp:revision/>
  <dcterms:created xsi:type="dcterms:W3CDTF">2013-06-25T01:42:25Z</dcterms:created>
  <dcterms:modified xsi:type="dcterms:W3CDTF">2026-06-25T03:07:58Z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0x010100841C3597F76DEA4A8B37024205BF4B46</vt:lpwstr>
  </property>
  <property fmtid="{D5CDD505-2E9C-101B-9397-08002B2CF9AE}" pid="3" name="Order">
    <vt:r8>17400</vt:r8>
  </property>
  <property fmtid="{D5CDD505-2E9C-101B-9397-08002B2CF9AE}" pid="4" name="MediaServiceImageTags">
    <vt:lpwstr/>
  </property>
</Properties>
</file>