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SophieCiurlionis\Downloads\"/>
    </mc:Choice>
  </mc:AlternateContent>
  <xr:revisionPtr revIDLastSave="0" documentId="13_ncr:1_{1DF444EB-E176-4159-9D59-BD75171FEAE5}" xr6:coauthVersionLast="47" xr6:coauthVersionMax="47" xr10:uidLastSave="{00000000-0000-0000-0000-000000000000}"/>
  <workbookProtection workbookAlgorithmName="SHA-512" workbookHashValue="4SNzq48bUVMOiIkz0RKw7k76cVHlpesJ6VD9cs5kNjRekjmGcNlCVboTZNHv7yLd5r3hFrWcsiBY3TkbK89UhQ==" workbookSaltValue="DWucNYPtRZts6/SO3NsQzg==" workbookSpinCount="100000" lockStructure="1"/>
  <bookViews>
    <workbookView xWindow="28680" yWindow="-2910" windowWidth="38640" windowHeight="21120" tabRatio="618" activeTab="3" xr2:uid="{00000000-000D-0000-FFFF-FFFF00000000}"/>
  </bookViews>
  <sheets>
    <sheet name="Disclaimer" sheetId="44" r:id="rId1"/>
    <sheet name="Introduction" sheetId="43" r:id="rId2"/>
    <sheet name="Change Log" sheetId="45" r:id="rId3"/>
    <sheet name="Design Review Scorecard" sheetId="40" r:id="rId4"/>
    <sheet name="As Built Review Scorecard " sheetId="47" r:id="rId5"/>
    <sheet name="Submission Planner" sheetId="27" state="hidden" r:id="rId6"/>
    <sheet name="ss - As Built Scorecard" sheetId="33" state="hidden" r:id="rId7"/>
  </sheets>
  <definedNames>
    <definedName name="Address">#REF!</definedName>
    <definedName name="Are_Urinals_installed?" localSheetId="4">#REF!</definedName>
    <definedName name="Are_Urinals_installed?" localSheetId="3">#REF!</definedName>
    <definedName name="Are_Urinals_installed?" localSheetId="6">#REF!</definedName>
    <definedName name="Are_Urinals_installed?" localSheetId="5">#REF!</definedName>
    <definedName name="Are_Urinals_installed?">#REF!</definedName>
    <definedName name="CAL_Cold.shell.area">#REF!</definedName>
    <definedName name="CAL_Integrated.area">#REF!</definedName>
    <definedName name="CAL_TargetedRating">#REF!</definedName>
    <definedName name="ene1_fields" localSheetId="4">#REF!,#REF!,#REF!,#REF!,#REF!,#REF!,#REF!,#REF!</definedName>
    <definedName name="ene1_fields" localSheetId="3">#REF!,#REF!,#REF!,#REF!,#REF!,#REF!,#REF!,#REF!</definedName>
    <definedName name="ene1_fields" localSheetId="6">#REF!,#REF!,#REF!,#REF!,#REF!,#REF!,#REF!,#REF!</definedName>
    <definedName name="ene1_fields" localSheetId="5">#REF!,#REF!,#REF!,#REF!,#REF!,#REF!,#REF!,#REF!</definedName>
    <definedName name="ene1_fields">#REF!,#REF!,#REF!,#REF!,#REF!,#REF!,#REF!,#REF!</definedName>
    <definedName name="Ene1_headingsEC">#REF!,#REF!,#REF!,#REF!,#REF!</definedName>
    <definedName name="Enecon_fields" localSheetId="4">#REF!,#REF!,#REF!,#REF!,#REF!,#REF!,#REF!,#REF!</definedName>
    <definedName name="Enecon_fields" localSheetId="3">#REF!,#REF!,#REF!,#REF!,#REF!,#REF!,#REF!,#REF!</definedName>
    <definedName name="Enecon_fields" localSheetId="6">#REF!,#REF!,#REF!,#REF!,#REF!,#REF!,#REF!,#REF!</definedName>
    <definedName name="Enecon_fields" localSheetId="5">#REF!,#REF!,#REF!,#REF!,#REF!,#REF!,#REF!,#REF!</definedName>
    <definedName name="Enecon_fields">#REF!,#REF!,#REF!,#REF!,#REF!,#REF!,#REF!,#REF!</definedName>
    <definedName name="Enecon_headingsEC">#REF!,#REF!,#REF!,#REF!,#REF!</definedName>
    <definedName name="Fields" localSheetId="4">#REF!,#REF!,#REF!,#REF!,#REF!,#REF!,#REF!,#REF!</definedName>
    <definedName name="Fields" localSheetId="3">#REF!,#REF!,#REF!,#REF!,#REF!,#REF!,#REF!,#REF!</definedName>
    <definedName name="Fields" localSheetId="6">#REF!,#REF!,#REF!,#REF!,#REF!,#REF!,#REF!,#REF!</definedName>
    <definedName name="Fields" localSheetId="5">#REF!,#REF!,#REF!,#REF!,#REF!,#REF!,#REF!,#REF!</definedName>
    <definedName name="Fields">#REF!,#REF!,#REF!,#REF!,#REF!,#REF!,#REF!,#REF!</definedName>
    <definedName name="fields2">#REF!,#REF!,#REF!,#REF!,#REF!,#REF!,#REF!,#REF!</definedName>
    <definedName name="Fields3">#REF!,#REF!,#REF!,#REF!,#REF!,#REF!,#REF!,#REF!</definedName>
    <definedName name="Headings" localSheetId="4">#REF!,#REF!,#REF!,#REF!,#REF!</definedName>
    <definedName name="Headings" localSheetId="3">#REF!,#REF!,#REF!,#REF!,#REF!</definedName>
    <definedName name="Headings" localSheetId="6">#REF!,#REF!,#REF!,#REF!,#REF!</definedName>
    <definedName name="Headings" localSheetId="5">#REF!,#REF!,#REF!,#REF!,#REF!</definedName>
    <definedName name="Headings">#REF!,#REF!,#REF!,#REF!,#REF!</definedName>
    <definedName name="Headings2">#REF!,#REF!,#REF!,#REF!,#REF!</definedName>
    <definedName name="HeadingsEC" localSheetId="4">#REF!,#REF!,#REF!,#REF!,#REF!</definedName>
    <definedName name="HeadingsEC" localSheetId="3">#REF!,#REF!,#REF!,#REF!,#REF!</definedName>
    <definedName name="HeadingsEC" localSheetId="6">#REF!,#REF!,#REF!,#REF!,#REF!</definedName>
    <definedName name="HeadingsEC" localSheetId="5">#REF!,#REF!,#REF!,#REF!,#REF!</definedName>
    <definedName name="HeadingsEC">#REF!,#REF!,#REF!,#REF!,#REF!</definedName>
    <definedName name="Headingsec2">#REF!,#REF!,#REF!,#REF!,#REF!</definedName>
    <definedName name="IN_DesiredRating">#REF!</definedName>
    <definedName name="IN_RegisteringFrom">#REF!</definedName>
    <definedName name="Labels" localSheetId="4">#REF!,#REF!</definedName>
    <definedName name="Labels" localSheetId="3">#REF!,#REF!</definedName>
    <definedName name="Labels" localSheetId="6">#REF!,#REF!</definedName>
    <definedName name="Labels" localSheetId="5">#REF!,#REF!</definedName>
    <definedName name="Labels">#REF!,#REF!</definedName>
    <definedName name="method" localSheetId="4">#REF!</definedName>
    <definedName name="method" localSheetId="3">#REF!</definedName>
    <definedName name="method" localSheetId="6">#REF!</definedName>
    <definedName name="method" localSheetId="5">#REF!</definedName>
    <definedName name="method">#REF!</definedName>
    <definedName name="Pal_Workbook_GUID" hidden="1">"NZ8LMWRV7V7KZYBEMNIRIE8E"</definedName>
    <definedName name="_xlnm.Print_Area" localSheetId="4">'As Built Review Scorecard '!$A$7:$H$70</definedName>
    <definedName name="_xlnm.Print_Area" localSheetId="3">'Design Review Scorecard'!$A$7:$H$70</definedName>
    <definedName name="_xlnm.Print_Area" localSheetId="6">'ss - As Built Scorecard'!$F$26:$J$44</definedName>
    <definedName name="_xlnm.Print_Area" localSheetId="5">'Submission Planner'!$F$26:$J$44</definedName>
    <definedName name="REF_PerformanceLevelValues">#REF!</definedName>
    <definedName name="SEL_YN_Industrial">#REF!</definedName>
    <definedName name="SEL_YN_Int.Credit">#REF!</definedName>
    <definedName name="SEL_YN_NA.Credit">#REF!</definedName>
    <definedName name="VITMZone">#REF!</definedName>
    <definedName name="WhiteSpace" localSheetId="4">#REF!,#REF!</definedName>
    <definedName name="WhiteSpace" localSheetId="3">#REF!,#REF!</definedName>
    <definedName name="WhiteSpace" localSheetId="6">#REF!,#REF!</definedName>
    <definedName name="WhiteSpace" localSheetId="5">#REF!,#REF!</definedName>
    <definedName name="WhiteSpace">#REF!,#REF!</definedName>
    <definedName name="yes" localSheetId="4">#REF!</definedName>
    <definedName name="yes" localSheetId="3">#REF!</definedName>
    <definedName name="yes" localSheetId="6">#REF!</definedName>
    <definedName name="yes" localSheetId="5">#REF!</definedName>
    <definedName name="y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4" i="47" l="1"/>
  <c r="B2" i="47"/>
  <c r="AJ65" i="47"/>
  <c r="AI65" i="47"/>
  <c r="AH65" i="47"/>
  <c r="AG65" i="47"/>
  <c r="AF65" i="47"/>
  <c r="H65" i="47"/>
  <c r="H69" i="47" s="1"/>
  <c r="K65" i="47"/>
  <c r="L63" i="47"/>
  <c r="L65" i="47" s="1"/>
  <c r="K63" i="47"/>
  <c r="R62" i="47"/>
  <c r="P62" i="47" s="1"/>
  <c r="N62" i="47" s="1"/>
  <c r="L62" i="47" s="1"/>
  <c r="Q62" i="47"/>
  <c r="O62" i="47"/>
  <c r="M62" i="47"/>
  <c r="K62" i="47" s="1"/>
  <c r="AJ61" i="47"/>
  <c r="AI61" i="47"/>
  <c r="AH61" i="47"/>
  <c r="AG61" i="47"/>
  <c r="AF61" i="47"/>
  <c r="H61" i="47"/>
  <c r="G61" i="47"/>
  <c r="L60" i="47"/>
  <c r="K60" i="47"/>
  <c r="L59" i="47"/>
  <c r="K59" i="47"/>
  <c r="L58" i="47"/>
  <c r="L61" i="47" s="1"/>
  <c r="K58" i="47"/>
  <c r="L57" i="47"/>
  <c r="K57" i="47"/>
  <c r="L56" i="47"/>
  <c r="K56" i="47"/>
  <c r="K61" i="47" s="1"/>
  <c r="R55" i="47"/>
  <c r="Q55" i="47"/>
  <c r="O55" i="47" s="1"/>
  <c r="M55" i="47" s="1"/>
  <c r="P55" i="47"/>
  <c r="N55" i="47" s="1"/>
  <c r="L55" i="47" s="1"/>
  <c r="AJ54" i="47"/>
  <c r="AI54" i="47"/>
  <c r="AH54" i="47"/>
  <c r="AG54" i="47"/>
  <c r="AF54" i="47"/>
  <c r="H54" i="47"/>
  <c r="G54" i="47"/>
  <c r="L53" i="47"/>
  <c r="K53" i="47"/>
  <c r="L52" i="47"/>
  <c r="K52" i="47"/>
  <c r="L51" i="47"/>
  <c r="L54" i="47" s="1"/>
  <c r="K51" i="47"/>
  <c r="L50" i="47"/>
  <c r="K50" i="47"/>
  <c r="K54" i="47" s="1"/>
  <c r="AJ48" i="47"/>
  <c r="AI48" i="47"/>
  <c r="AH48" i="47"/>
  <c r="AG48" i="47"/>
  <c r="AF48" i="47"/>
  <c r="H48" i="47"/>
  <c r="G48" i="47"/>
  <c r="L47" i="47"/>
  <c r="K47" i="47"/>
  <c r="L46" i="47"/>
  <c r="K46" i="47"/>
  <c r="L45" i="47"/>
  <c r="K45" i="47"/>
  <c r="L44" i="47"/>
  <c r="L48" i="47" s="1"/>
  <c r="K44" i="47"/>
  <c r="K48" i="47" s="1"/>
  <c r="AJ42" i="47"/>
  <c r="AI42" i="47"/>
  <c r="AH42" i="47"/>
  <c r="AG42" i="47"/>
  <c r="AF42" i="47"/>
  <c r="H42" i="47"/>
  <c r="G42" i="47"/>
  <c r="L41" i="47"/>
  <c r="K41" i="47"/>
  <c r="L40" i="47"/>
  <c r="K40" i="47"/>
  <c r="L39" i="47"/>
  <c r="K39" i="47"/>
  <c r="L38" i="47"/>
  <c r="K38" i="47"/>
  <c r="L37" i="47"/>
  <c r="K37" i="47"/>
  <c r="L36" i="47"/>
  <c r="K36" i="47"/>
  <c r="L35" i="47"/>
  <c r="L42" i="47" s="1"/>
  <c r="K35" i="47"/>
  <c r="K42" i="47" s="1"/>
  <c r="AJ33" i="47"/>
  <c r="AI33" i="47"/>
  <c r="AH33" i="47"/>
  <c r="AG33" i="47"/>
  <c r="AF33" i="47"/>
  <c r="H33" i="47"/>
  <c r="G33" i="47"/>
  <c r="L32" i="47"/>
  <c r="K32" i="47"/>
  <c r="L31" i="47"/>
  <c r="K31" i="47"/>
  <c r="L30" i="47"/>
  <c r="K30" i="47"/>
  <c r="L29" i="47"/>
  <c r="L33" i="47" s="1"/>
  <c r="K29" i="47"/>
  <c r="K33" i="47" s="1"/>
  <c r="I28" i="47"/>
  <c r="AJ27" i="47"/>
  <c r="AI27" i="47"/>
  <c r="AH27" i="47"/>
  <c r="AG27" i="47"/>
  <c r="AF27" i="47"/>
  <c r="I27" i="47"/>
  <c r="H27" i="47"/>
  <c r="G27" i="47"/>
  <c r="L26" i="47"/>
  <c r="K26" i="47"/>
  <c r="L25" i="47"/>
  <c r="K25" i="47"/>
  <c r="L24" i="47"/>
  <c r="K24" i="47"/>
  <c r="L23" i="47"/>
  <c r="K23" i="47"/>
  <c r="L22" i="47"/>
  <c r="L27" i="47" s="1"/>
  <c r="K22" i="47"/>
  <c r="L21" i="47"/>
  <c r="K21" i="47"/>
  <c r="K27" i="47" s="1"/>
  <c r="AJ20" i="47"/>
  <c r="AI20" i="47"/>
  <c r="AH20" i="47"/>
  <c r="AG20" i="47"/>
  <c r="AF20" i="47"/>
  <c r="I20" i="47"/>
  <c r="AJ19" i="47"/>
  <c r="AI19" i="47"/>
  <c r="AH19" i="47"/>
  <c r="AG19" i="47"/>
  <c r="AF19" i="47"/>
  <c r="H19" i="47"/>
  <c r="H68" i="47" s="1"/>
  <c r="G19" i="47"/>
  <c r="G68" i="47" s="1"/>
  <c r="G3" i="47" s="1"/>
  <c r="L18" i="47"/>
  <c r="K18" i="47"/>
  <c r="L16" i="47"/>
  <c r="K16" i="47"/>
  <c r="L15" i="47"/>
  <c r="K15" i="47"/>
  <c r="L14" i="47"/>
  <c r="K14" i="47"/>
  <c r="L13" i="47"/>
  <c r="K13" i="47"/>
  <c r="G13" i="47"/>
  <c r="L12" i="47"/>
  <c r="K12" i="47"/>
  <c r="L11" i="47"/>
  <c r="K11" i="47"/>
  <c r="L10" i="47"/>
  <c r="K10" i="47"/>
  <c r="B4" i="47"/>
  <c r="B4" i="40"/>
  <c r="L63" i="40"/>
  <c r="L57" i="40"/>
  <c r="L58" i="40"/>
  <c r="L59" i="40"/>
  <c r="L60" i="40"/>
  <c r="L56" i="40"/>
  <c r="L51" i="40"/>
  <c r="L52" i="40"/>
  <c r="L53" i="40"/>
  <c r="L50" i="40"/>
  <c r="L46" i="40"/>
  <c r="L47" i="40"/>
  <c r="L44" i="40"/>
  <c r="L45" i="40"/>
  <c r="L41" i="40"/>
  <c r="L38" i="40"/>
  <c r="L39" i="40"/>
  <c r="L40" i="40"/>
  <c r="L36" i="40"/>
  <c r="L37" i="40"/>
  <c r="L35" i="40"/>
  <c r="L30" i="40"/>
  <c r="L31" i="40"/>
  <c r="L32" i="40"/>
  <c r="L26" i="40"/>
  <c r="L22" i="40"/>
  <c r="L23" i="40"/>
  <c r="L24" i="40"/>
  <c r="L25" i="40"/>
  <c r="Q62" i="40"/>
  <c r="O62" i="40" s="1"/>
  <c r="M62" i="40" s="1"/>
  <c r="K62" i="40" s="1"/>
  <c r="R62" i="40"/>
  <c r="P62" i="40" s="1"/>
  <c r="N62" i="40" s="1"/>
  <c r="L62" i="40" s="1"/>
  <c r="K63" i="40"/>
  <c r="K64" i="40"/>
  <c r="K60" i="40"/>
  <c r="K57" i="40"/>
  <c r="K58" i="40"/>
  <c r="K59" i="40"/>
  <c r="Q55" i="40"/>
  <c r="O55" i="40" s="1"/>
  <c r="M55" i="40" s="1"/>
  <c r="K55" i="40" s="1"/>
  <c r="R55" i="40"/>
  <c r="P55" i="40" s="1"/>
  <c r="N55" i="40" s="1"/>
  <c r="L55" i="40" s="1"/>
  <c r="K56" i="40"/>
  <c r="K51" i="40"/>
  <c r="K52" i="40"/>
  <c r="K53" i="40"/>
  <c r="K50" i="40"/>
  <c r="K45" i="40"/>
  <c r="K46" i="40"/>
  <c r="K47" i="40"/>
  <c r="K44" i="40"/>
  <c r="K40" i="40"/>
  <c r="K41" i="40"/>
  <c r="K37" i="40"/>
  <c r="K38" i="40"/>
  <c r="K39" i="40"/>
  <c r="K35" i="40"/>
  <c r="K36" i="40"/>
  <c r="K30" i="40"/>
  <c r="K31" i="40"/>
  <c r="K32" i="40"/>
  <c r="K24" i="40"/>
  <c r="K25" i="40"/>
  <c r="K26" i="40"/>
  <c r="K22" i="40"/>
  <c r="K23" i="40"/>
  <c r="K29" i="40"/>
  <c r="G13" i="40"/>
  <c r="H65" i="40"/>
  <c r="H69" i="40" s="1"/>
  <c r="H61" i="40"/>
  <c r="G61" i="40"/>
  <c r="H54" i="40"/>
  <c r="H48" i="40"/>
  <c r="H42" i="40"/>
  <c r="H33" i="40"/>
  <c r="G33" i="40"/>
  <c r="H27" i="40"/>
  <c r="H19" i="40"/>
  <c r="L19" i="47" l="1"/>
  <c r="L68" i="47" s="1"/>
  <c r="L3" i="47" s="1"/>
  <c r="H68" i="40"/>
  <c r="K19" i="47"/>
  <c r="K68" i="47" s="1"/>
  <c r="K3" i="47" s="1"/>
  <c r="B5" i="47" s="1"/>
  <c r="H70" i="47"/>
  <c r="H3" i="47" s="1"/>
  <c r="B3" i="47" s="1"/>
  <c r="M80" i="47"/>
  <c r="K55" i="47"/>
  <c r="M79" i="47"/>
  <c r="M78" i="47"/>
  <c r="M77" i="47"/>
  <c r="M76" i="47"/>
  <c r="I19" i="47"/>
  <c r="K65" i="40"/>
  <c r="K42" i="40"/>
  <c r="K54" i="40"/>
  <c r="K33" i="40"/>
  <c r="K61" i="40"/>
  <c r="L54" i="40"/>
  <c r="L65" i="40"/>
  <c r="L48" i="40"/>
  <c r="L61" i="40"/>
  <c r="K48" i="40"/>
  <c r="L42" i="40"/>
  <c r="H70" i="40" l="1"/>
  <c r="H3" i="40" s="1"/>
  <c r="B3" i="40" s="1"/>
  <c r="G42" i="40"/>
  <c r="G48" i="40"/>
  <c r="G54" i="40"/>
  <c r="G19" i="40"/>
  <c r="G27" i="40"/>
  <c r="G68" i="40" l="1"/>
  <c r="G3" i="40" s="1"/>
  <c r="AJ65" i="40"/>
  <c r="AI65" i="40"/>
  <c r="AH65" i="40"/>
  <c r="AJ61" i="40"/>
  <c r="AI61" i="40"/>
  <c r="AH61" i="40"/>
  <c r="AJ54" i="40"/>
  <c r="AI54" i="40"/>
  <c r="AG54" i="40"/>
  <c r="AJ48" i="40"/>
  <c r="AI48" i="40"/>
  <c r="AJ42" i="40"/>
  <c r="AI42" i="40"/>
  <c r="AH42" i="40"/>
  <c r="AJ33" i="40"/>
  <c r="AI33" i="40"/>
  <c r="AH33" i="40"/>
  <c r="I28" i="40"/>
  <c r="L29" i="40"/>
  <c r="L33" i="40" s="1"/>
  <c r="AJ27" i="40"/>
  <c r="AI27" i="40"/>
  <c r="AH27" i="40"/>
  <c r="L21" i="40"/>
  <c r="L27" i="40" s="1"/>
  <c r="K21" i="40"/>
  <c r="K27" i="40" s="1"/>
  <c r="I20" i="40"/>
  <c r="AJ20" i="40"/>
  <c r="AI20" i="40"/>
  <c r="AF19" i="40"/>
  <c r="AI19" i="40"/>
  <c r="AJ19" i="40"/>
  <c r="L10" i="40"/>
  <c r="AF65" i="40" l="1"/>
  <c r="AG65" i="40"/>
  <c r="AF61" i="40"/>
  <c r="AG61" i="40"/>
  <c r="AF54" i="40"/>
  <c r="AH54" i="40"/>
  <c r="AF48" i="40"/>
  <c r="AG48" i="40"/>
  <c r="AH48" i="40" s="1"/>
  <c r="AF42" i="40"/>
  <c r="AG42" i="40"/>
  <c r="AF33" i="40"/>
  <c r="AG33" i="40"/>
  <c r="I27" i="40"/>
  <c r="AF27" i="40"/>
  <c r="AG27" i="40"/>
  <c r="I19" i="40"/>
  <c r="AG20" i="40"/>
  <c r="AH19" i="40"/>
  <c r="AG19" i="40"/>
  <c r="L18" i="40"/>
  <c r="K18" i="40"/>
  <c r="L16" i="40"/>
  <c r="K16" i="40"/>
  <c r="L15" i="40"/>
  <c r="K15" i="40"/>
  <c r="L14" i="40"/>
  <c r="K14" i="40"/>
  <c r="K11" i="40"/>
  <c r="K13" i="40"/>
  <c r="K12" i="40"/>
  <c r="L13" i="40"/>
  <c r="L12" i="40"/>
  <c r="L11" i="40"/>
  <c r="K10" i="40"/>
  <c r="M80" i="40"/>
  <c r="M79" i="40"/>
  <c r="M78" i="40"/>
  <c r="M77" i="40"/>
  <c r="M76" i="40"/>
  <c r="K19" i="40" l="1"/>
  <c r="K68" i="40" s="1"/>
  <c r="L19" i="40"/>
  <c r="L68" i="40" s="1"/>
  <c r="AH20" i="40"/>
  <c r="AF20" i="40" l="1"/>
  <c r="K3" i="40" l="1"/>
  <c r="B5" i="40" s="1"/>
  <c r="L3" i="40" l="1"/>
  <c r="L74" i="27"/>
  <c r="J77" i="27"/>
  <c r="L98" i="27"/>
  <c r="L91" i="27"/>
  <c r="L90" i="27"/>
  <c r="L88" i="27"/>
  <c r="L73" i="27"/>
  <c r="L72" i="27"/>
  <c r="L49" i="27"/>
  <c r="L40" i="27"/>
  <c r="L39" i="27"/>
  <c r="L37" i="27"/>
  <c r="L36" i="27"/>
  <c r="L35" i="27"/>
  <c r="L24" i="27"/>
  <c r="L23" i="27"/>
  <c r="L22" i="27"/>
  <c r="L21" i="27"/>
  <c r="L19" i="27"/>
  <c r="L17" i="27"/>
  <c r="L16" i="27"/>
  <c r="L15" i="27"/>
  <c r="L13" i="27"/>
  <c r="L12" i="27"/>
  <c r="L11" i="27"/>
  <c r="L10" i="27"/>
  <c r="L9" i="27"/>
  <c r="J83" i="27"/>
  <c r="J82" i="27"/>
  <c r="J84" i="27"/>
  <c r="Y12" i="27" s="1"/>
  <c r="J76" i="27"/>
  <c r="J75" i="27"/>
  <c r="J74" i="27"/>
  <c r="J73" i="27"/>
  <c r="J72" i="27"/>
  <c r="J109" i="27"/>
  <c r="L109" i="27" s="1"/>
  <c r="K109" i="27"/>
  <c r="J68" i="27"/>
  <c r="J67" i="27"/>
  <c r="B68" i="27"/>
  <c r="B67" i="27"/>
  <c r="J66" i="27"/>
  <c r="J65" i="27"/>
  <c r="J64" i="27"/>
  <c r="J63" i="27"/>
  <c r="J51" i="27"/>
  <c r="J50" i="27"/>
  <c r="J23" i="27"/>
  <c r="J24" i="27"/>
  <c r="K101" i="27" l="1"/>
  <c r="J101" i="27"/>
  <c r="Y14" i="27" s="1"/>
  <c r="J94" i="27"/>
  <c r="K92" i="27"/>
  <c r="J91" i="27"/>
  <c r="J92" i="27" s="1"/>
  <c r="Y13" i="27" s="1"/>
  <c r="B91" i="27"/>
  <c r="J86" i="27" s="1"/>
  <c r="K84" i="27"/>
  <c r="J80" i="27"/>
  <c r="B80" i="27"/>
  <c r="J79" i="27"/>
  <c r="B79" i="27"/>
  <c r="J78" i="27"/>
  <c r="B78" i="27"/>
  <c r="B77" i="27"/>
  <c r="K69" i="27"/>
  <c r="K60" i="27"/>
  <c r="J57" i="27"/>
  <c r="B57" i="27"/>
  <c r="J56" i="27"/>
  <c r="B56" i="27"/>
  <c r="K52" i="27"/>
  <c r="J52" i="27"/>
  <c r="Y9" i="27" s="1"/>
  <c r="J47" i="27"/>
  <c r="K45" i="27"/>
  <c r="J44" i="27"/>
  <c r="B44" i="27"/>
  <c r="J43" i="27"/>
  <c r="B43" i="27"/>
  <c r="J42" i="27"/>
  <c r="B42" i="27"/>
  <c r="J41" i="27"/>
  <c r="B41" i="27"/>
  <c r="J40" i="27"/>
  <c r="B40" i="27"/>
  <c r="J39" i="27"/>
  <c r="B39" i="27"/>
  <c r="J37" i="27"/>
  <c r="B37" i="27"/>
  <c r="J36" i="27"/>
  <c r="B36" i="27"/>
  <c r="J35" i="27"/>
  <c r="B35" i="27"/>
  <c r="J33" i="27"/>
  <c r="B33" i="27"/>
  <c r="J32" i="27"/>
  <c r="B32" i="27"/>
  <c r="J31" i="27"/>
  <c r="B31" i="27"/>
  <c r="J30" i="27"/>
  <c r="B30" i="27"/>
  <c r="J29" i="27"/>
  <c r="B29" i="27"/>
  <c r="J28" i="27"/>
  <c r="B28" i="27"/>
  <c r="K25" i="27"/>
  <c r="J6" i="27"/>
  <c r="Z8" i="27" l="1"/>
  <c r="Z10" i="27"/>
  <c r="Z13" i="27"/>
  <c r="L92" i="27"/>
  <c r="Z7" i="27"/>
  <c r="Z11" i="27"/>
  <c r="Z12" i="27"/>
  <c r="L84" i="27"/>
  <c r="L52" i="27"/>
  <c r="Z9" i="27"/>
  <c r="Z14" i="27"/>
  <c r="L101" i="27"/>
  <c r="K112" i="27"/>
  <c r="J62" i="27"/>
  <c r="J60" i="27"/>
  <c r="Y10" i="27" s="1"/>
  <c r="J27" i="27"/>
  <c r="J45" i="27"/>
  <c r="Y8" i="27" s="1"/>
  <c r="J69" i="27"/>
  <c r="Y11" i="27" s="1"/>
  <c r="J54" i="27"/>
  <c r="J25" i="27"/>
  <c r="L25" i="27" s="1"/>
  <c r="J71" i="27"/>
  <c r="Q138" i="33"/>
  <c r="Q137" i="33"/>
  <c r="P137" i="33"/>
  <c r="O137" i="33"/>
  <c r="Q136" i="33"/>
  <c r="P136" i="33"/>
  <c r="O136" i="33"/>
  <c r="Q135" i="33"/>
  <c r="P135" i="33"/>
  <c r="O135" i="33"/>
  <c r="Q134" i="33"/>
  <c r="P134" i="33"/>
  <c r="K122" i="33"/>
  <c r="J122" i="33"/>
  <c r="N121" i="33"/>
  <c r="M121" i="33"/>
  <c r="N120" i="33"/>
  <c r="M120" i="33"/>
  <c r="N119" i="33"/>
  <c r="M119" i="33"/>
  <c r="N118" i="33"/>
  <c r="M118" i="33"/>
  <c r="N117" i="33"/>
  <c r="M117" i="33"/>
  <c r="K114" i="33"/>
  <c r="J114" i="33"/>
  <c r="N113" i="33"/>
  <c r="M113" i="33"/>
  <c r="N112" i="33"/>
  <c r="M112" i="33"/>
  <c r="N111" i="33"/>
  <c r="M111" i="33"/>
  <c r="L111" i="33"/>
  <c r="N110" i="33"/>
  <c r="M110" i="33"/>
  <c r="N109" i="33"/>
  <c r="M109" i="33"/>
  <c r="N108" i="33"/>
  <c r="M108" i="33"/>
  <c r="J107" i="33"/>
  <c r="K105" i="33"/>
  <c r="N104" i="33"/>
  <c r="M104" i="33"/>
  <c r="N103" i="33"/>
  <c r="M103" i="33"/>
  <c r="L103" i="33"/>
  <c r="J103" i="33"/>
  <c r="J105" i="33" s="1"/>
  <c r="B103" i="33"/>
  <c r="J98" i="33" s="1"/>
  <c r="N102" i="33"/>
  <c r="M102" i="33"/>
  <c r="L102" i="33"/>
  <c r="N101" i="33"/>
  <c r="M101" i="33"/>
  <c r="N100" i="33"/>
  <c r="M100" i="33"/>
  <c r="L100" i="33"/>
  <c r="N99" i="33"/>
  <c r="M99" i="33"/>
  <c r="K96" i="33"/>
  <c r="J96" i="33"/>
  <c r="N95" i="33"/>
  <c r="M95" i="33"/>
  <c r="J95" i="33"/>
  <c r="J94" i="33"/>
  <c r="N93" i="33"/>
  <c r="M93" i="33"/>
  <c r="N92" i="33"/>
  <c r="M92" i="33"/>
  <c r="J92" i="33"/>
  <c r="B92" i="33"/>
  <c r="N91" i="33"/>
  <c r="M91" i="33"/>
  <c r="J91" i="33"/>
  <c r="B91" i="33"/>
  <c r="N90" i="33"/>
  <c r="M90" i="33"/>
  <c r="J90" i="33"/>
  <c r="B90" i="33"/>
  <c r="N89" i="33"/>
  <c r="M89" i="33"/>
  <c r="J89" i="33"/>
  <c r="B89" i="33"/>
  <c r="J84" i="33" s="1"/>
  <c r="N88" i="33"/>
  <c r="M88" i="33"/>
  <c r="J88" i="33"/>
  <c r="N87" i="33"/>
  <c r="M87" i="33"/>
  <c r="L87" i="33"/>
  <c r="J87" i="33"/>
  <c r="N86" i="33"/>
  <c r="M86" i="33"/>
  <c r="L86" i="33"/>
  <c r="N85" i="33"/>
  <c r="M85" i="33"/>
  <c r="L85" i="33"/>
  <c r="J85" i="33"/>
  <c r="K82" i="33"/>
  <c r="N81" i="33"/>
  <c r="M81" i="33"/>
  <c r="J81" i="33"/>
  <c r="B81" i="33"/>
  <c r="N80" i="33"/>
  <c r="M80" i="33"/>
  <c r="J80" i="33"/>
  <c r="B80" i="33"/>
  <c r="J75" i="33" s="1"/>
  <c r="N79" i="33"/>
  <c r="M79" i="33"/>
  <c r="J79" i="33"/>
  <c r="N78" i="33"/>
  <c r="M78" i="33"/>
  <c r="J78" i="33"/>
  <c r="N77" i="33"/>
  <c r="M77" i="33"/>
  <c r="J77" i="33"/>
  <c r="N76" i="33"/>
  <c r="M76" i="33"/>
  <c r="J76" i="33"/>
  <c r="K73" i="33"/>
  <c r="N72" i="33"/>
  <c r="M72" i="33"/>
  <c r="J72" i="33"/>
  <c r="N71" i="33"/>
  <c r="M71" i="33"/>
  <c r="J71" i="33"/>
  <c r="N70" i="33"/>
  <c r="M70" i="33"/>
  <c r="J70" i="33"/>
  <c r="B70" i="33"/>
  <c r="N69" i="33"/>
  <c r="M69" i="33"/>
  <c r="J69" i="33"/>
  <c r="B69" i="33"/>
  <c r="J66" i="33" s="1"/>
  <c r="N68" i="33"/>
  <c r="M68" i="33"/>
  <c r="J68" i="33"/>
  <c r="N67" i="33"/>
  <c r="M67" i="33"/>
  <c r="J67" i="33"/>
  <c r="K64" i="33"/>
  <c r="N63" i="33"/>
  <c r="M63" i="33"/>
  <c r="J63" i="33"/>
  <c r="N62" i="33"/>
  <c r="M62" i="33"/>
  <c r="J62" i="33"/>
  <c r="N61" i="33"/>
  <c r="M61" i="33"/>
  <c r="L61" i="33"/>
  <c r="J61" i="33"/>
  <c r="N60" i="33"/>
  <c r="M60" i="33"/>
  <c r="N59" i="33"/>
  <c r="M59" i="33"/>
  <c r="L59" i="33"/>
  <c r="J59" i="33"/>
  <c r="N58" i="33"/>
  <c r="M58" i="33"/>
  <c r="N57" i="33"/>
  <c r="M57" i="33"/>
  <c r="L57" i="33"/>
  <c r="J57" i="33"/>
  <c r="N56" i="33"/>
  <c r="M56" i="33"/>
  <c r="N55" i="33"/>
  <c r="M55" i="33"/>
  <c r="L55" i="33"/>
  <c r="J55" i="33"/>
  <c r="N54" i="33"/>
  <c r="M54" i="33"/>
  <c r="N53" i="33"/>
  <c r="M53" i="33"/>
  <c r="J53" i="33"/>
  <c r="N52" i="33"/>
  <c r="M52" i="33"/>
  <c r="J52" i="33"/>
  <c r="N51" i="33"/>
  <c r="M51" i="33"/>
  <c r="J51" i="33"/>
  <c r="N50" i="33"/>
  <c r="M50" i="33"/>
  <c r="J50" i="33"/>
  <c r="N49" i="33"/>
  <c r="M49" i="33"/>
  <c r="J49" i="33"/>
  <c r="N48" i="33"/>
  <c r="M48" i="33"/>
  <c r="J48" i="33"/>
  <c r="N47" i="33"/>
  <c r="M47" i="33"/>
  <c r="J46" i="33"/>
  <c r="K44" i="33"/>
  <c r="N43" i="33"/>
  <c r="M43" i="33"/>
  <c r="J43" i="33"/>
  <c r="B43" i="33"/>
  <c r="N42" i="33"/>
  <c r="M42" i="33"/>
  <c r="J42" i="33"/>
  <c r="B42" i="33"/>
  <c r="N41" i="33"/>
  <c r="M41" i="33"/>
  <c r="J41" i="33"/>
  <c r="B41" i="33"/>
  <c r="N40" i="33"/>
  <c r="M40" i="33"/>
  <c r="J40" i="33"/>
  <c r="B40" i="33"/>
  <c r="N39" i="33"/>
  <c r="M39" i="33"/>
  <c r="L39" i="33"/>
  <c r="J39" i="33"/>
  <c r="B39" i="33"/>
  <c r="N38" i="33"/>
  <c r="M38" i="33"/>
  <c r="L38" i="33"/>
  <c r="J38" i="33"/>
  <c r="B38" i="33"/>
  <c r="N37" i="33"/>
  <c r="M37" i="33"/>
  <c r="N36" i="33"/>
  <c r="M36" i="33"/>
  <c r="L36" i="33"/>
  <c r="J36" i="33"/>
  <c r="B36" i="33"/>
  <c r="N35" i="33"/>
  <c r="M35" i="33"/>
  <c r="L35" i="33"/>
  <c r="J35" i="33"/>
  <c r="B35" i="33"/>
  <c r="N34" i="33"/>
  <c r="M34" i="33"/>
  <c r="L34" i="33"/>
  <c r="J34" i="33"/>
  <c r="B34" i="33"/>
  <c r="N33" i="33"/>
  <c r="M33" i="33"/>
  <c r="N32" i="33"/>
  <c r="M32" i="33"/>
  <c r="J32" i="33"/>
  <c r="B32" i="33"/>
  <c r="N31" i="33"/>
  <c r="M31" i="33"/>
  <c r="J31" i="33"/>
  <c r="B31" i="33"/>
  <c r="N30" i="33"/>
  <c r="M30" i="33"/>
  <c r="J30" i="33"/>
  <c r="B30" i="33"/>
  <c r="N29" i="33"/>
  <c r="M29" i="33"/>
  <c r="J29" i="33"/>
  <c r="B29" i="33"/>
  <c r="N28" i="33"/>
  <c r="M28" i="33"/>
  <c r="J28" i="33"/>
  <c r="B28" i="33"/>
  <c r="N27" i="33"/>
  <c r="M27" i="33"/>
  <c r="J27" i="33"/>
  <c r="B27" i="33"/>
  <c r="K24" i="33"/>
  <c r="N23" i="33"/>
  <c r="M23" i="33"/>
  <c r="L23" i="33"/>
  <c r="J23" i="33"/>
  <c r="N22" i="33"/>
  <c r="M22" i="33"/>
  <c r="L22" i="33"/>
  <c r="J22" i="33"/>
  <c r="J24" i="33" s="1"/>
  <c r="N20" i="33"/>
  <c r="M20" i="33"/>
  <c r="L20" i="33"/>
  <c r="N19" i="33"/>
  <c r="M19" i="33"/>
  <c r="N18" i="33"/>
  <c r="M18" i="33"/>
  <c r="L18" i="33"/>
  <c r="N17" i="33"/>
  <c r="M17" i="33"/>
  <c r="N16" i="33"/>
  <c r="M16" i="33"/>
  <c r="L16" i="33"/>
  <c r="N15" i="33"/>
  <c r="M15" i="33"/>
  <c r="L15" i="33"/>
  <c r="N14" i="33"/>
  <c r="M14" i="33"/>
  <c r="L14" i="33"/>
  <c r="N13" i="33"/>
  <c r="M13" i="33"/>
  <c r="L13" i="33"/>
  <c r="N12" i="33"/>
  <c r="M12" i="33"/>
  <c r="L12" i="33"/>
  <c r="N11" i="33"/>
  <c r="M11" i="33"/>
  <c r="L11" i="33"/>
  <c r="N10" i="33"/>
  <c r="M10" i="33"/>
  <c r="L10" i="33"/>
  <c r="N9" i="33"/>
  <c r="M9" i="33"/>
  <c r="L9" i="33"/>
  <c r="N8" i="33"/>
  <c r="M8" i="33"/>
  <c r="N7" i="33"/>
  <c r="M7" i="33"/>
  <c r="J6" i="33"/>
  <c r="G2" i="33"/>
  <c r="M122" i="33" l="1"/>
  <c r="J64" i="33"/>
  <c r="L64" i="33" s="1"/>
  <c r="L96" i="33"/>
  <c r="L60" i="27"/>
  <c r="L69" i="27"/>
  <c r="N105" i="33"/>
  <c r="N114" i="33"/>
  <c r="L114" i="33"/>
  <c r="J26" i="33"/>
  <c r="N73" i="33"/>
  <c r="M82" i="33"/>
  <c r="L45" i="27"/>
  <c r="L122" i="33"/>
  <c r="M44" i="33"/>
  <c r="J73" i="33"/>
  <c r="L73" i="33" s="1"/>
  <c r="M96" i="33"/>
  <c r="N96" i="33"/>
  <c r="M24" i="33"/>
  <c r="J44" i="33"/>
  <c r="L44" i="33" s="1"/>
  <c r="N82" i="33"/>
  <c r="L105" i="33"/>
  <c r="N44" i="33"/>
  <c r="B125" i="33"/>
  <c r="J125" i="33" s="1"/>
  <c r="J3" i="33" s="1"/>
  <c r="M64" i="33"/>
  <c r="N64" i="33"/>
  <c r="M73" i="33"/>
  <c r="J82" i="33"/>
  <c r="L82" i="33" s="1"/>
  <c r="M105" i="33"/>
  <c r="M114" i="33"/>
  <c r="N122" i="33"/>
  <c r="P3" i="33"/>
  <c r="R135" i="33"/>
  <c r="R136" i="33" s="1"/>
  <c r="N24" i="33"/>
  <c r="L24" i="33"/>
  <c r="K125" i="33"/>
  <c r="K127" i="33"/>
  <c r="R138" i="33" l="1"/>
  <c r="M125" i="33"/>
  <c r="M3" i="33" s="1"/>
  <c r="K126" i="33"/>
  <c r="K128" i="33" s="1"/>
  <c r="K3" i="33" s="1"/>
  <c r="G3" i="33" s="1"/>
  <c r="N125" i="33"/>
  <c r="N3" i="33" s="1"/>
  <c r="AB14" i="27" l="1"/>
  <c r="AC14" i="27"/>
  <c r="K114" i="27" l="1"/>
  <c r="AC17" i="27"/>
  <c r="AB17" i="27"/>
  <c r="AC13" i="27"/>
  <c r="AB13" i="27"/>
  <c r="AC12" i="27"/>
  <c r="AB12" i="27"/>
  <c r="AC11" i="27"/>
  <c r="AB11" i="27"/>
  <c r="AC10" i="27"/>
  <c r="AB10" i="27"/>
  <c r="AC9" i="27"/>
  <c r="AB9" i="27"/>
  <c r="AC8" i="27"/>
  <c r="AB8" i="27"/>
  <c r="AC7" i="27"/>
  <c r="AB7" i="27"/>
  <c r="G2" i="27"/>
  <c r="B112" i="27" l="1"/>
  <c r="J112" i="27" s="1"/>
  <c r="J3" i="27" s="1"/>
  <c r="X15" i="27" l="1"/>
  <c r="AB16" i="27" s="1"/>
  <c r="AB18" i="27" s="1"/>
  <c r="K113" i="27"/>
  <c r="K115" i="27" s="1"/>
  <c r="K3" i="27" s="1"/>
  <c r="G3" i="27" s="1"/>
  <c r="AC16" i="27" l="1"/>
  <c r="AC18"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Ulises Demeneghi Cervantes</author>
  </authors>
  <commentList>
    <comment ref="M79" authorId="0" shapeId="0" xr:uid="{D50679A0-111F-478D-9DAA-5C94E3EFDFB9}">
      <text>
        <r>
          <rPr>
            <b/>
            <sz val="10"/>
            <color indexed="81"/>
            <rFont val="Tahoma"/>
            <family val="2"/>
          </rPr>
          <t xml:space="preserve">Ulises Demeneghi: Changed interval to exclude innovation points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Karl Desai</author>
  </authors>
  <commentList>
    <comment ref="K113" authorId="0" shapeId="0" xr:uid="{00000000-0006-0000-0600-000001000000}">
      <text>
        <r>
          <rPr>
            <sz val="11"/>
            <color indexed="81"/>
            <rFont val="Arial"/>
            <family val="2"/>
          </rPr>
          <t xml:space="preserve">This is the number of points targeted divided by the number of points available. </t>
        </r>
      </text>
    </comment>
    <comment ref="K115" authorId="0" shapeId="0" xr:uid="{00000000-0006-0000-0600-000002000000}">
      <text>
        <r>
          <rPr>
            <sz val="11"/>
            <color indexed="81"/>
            <rFont val="Tahoma"/>
            <family val="2"/>
          </rPr>
          <t>This is the core score plus the Innovation points targeted. See the Submission Guidelines for additional detail.</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Karl Desai</author>
    <author>Ulises Demeneghi Cervantes</author>
  </authors>
  <commentList>
    <comment ref="K126" authorId="0" shapeId="0" xr:uid="{00000000-0006-0000-0500-000001000000}">
      <text>
        <r>
          <rPr>
            <sz val="11"/>
            <color indexed="81"/>
            <rFont val="Arial"/>
            <family val="2"/>
          </rPr>
          <t xml:space="preserve">This is the number of points targeted divided by the number of points available. </t>
        </r>
      </text>
    </comment>
    <comment ref="K128" authorId="0" shapeId="0" xr:uid="{00000000-0006-0000-0500-000002000000}">
      <text>
        <r>
          <rPr>
            <sz val="11"/>
            <color indexed="81"/>
            <rFont val="Tahoma"/>
            <family val="2"/>
          </rPr>
          <t>This is the core score plus the Innovation points targeted. See the Submission Guidelines for additional detail.</t>
        </r>
        <r>
          <rPr>
            <sz val="8"/>
            <color indexed="81"/>
            <rFont val="Tahoma"/>
            <family val="2"/>
          </rPr>
          <t xml:space="preserve">
</t>
        </r>
      </text>
    </comment>
    <comment ref="O135" authorId="1" shapeId="0" xr:uid="{00000000-0006-0000-0500-000003000000}">
      <text>
        <r>
          <rPr>
            <b/>
            <sz val="10"/>
            <color indexed="81"/>
            <rFont val="Tahoma"/>
            <family val="2"/>
          </rPr>
          <t xml:space="preserve">Ulises Demeneghi: Changed interval to exclude innovation points
</t>
        </r>
      </text>
    </comment>
    <comment ref="O136" authorId="1" shapeId="0" xr:uid="{00000000-0006-0000-0500-000004000000}">
      <text>
        <r>
          <rPr>
            <b/>
            <sz val="10"/>
            <color indexed="81"/>
            <rFont val="Tahoma"/>
            <family val="2"/>
          </rPr>
          <t xml:space="preserve">Ulises Demeneghi: Changed interval to exclude innovation points
</t>
        </r>
      </text>
    </comment>
    <comment ref="O137" authorId="1" shapeId="0" xr:uid="{00000000-0006-0000-0500-000005000000}">
      <text>
        <r>
          <rPr>
            <b/>
            <sz val="10"/>
            <color indexed="81"/>
            <rFont val="Tahoma"/>
            <family val="2"/>
          </rPr>
          <t xml:space="preserve">Ulises Demeneghi: Changed interval to exclude innovation points
</t>
        </r>
      </text>
    </comment>
    <comment ref="Q137" authorId="1" shapeId="0" xr:uid="{00000000-0006-0000-0500-000006000000}">
      <text>
        <r>
          <rPr>
            <b/>
            <sz val="10"/>
            <color indexed="81"/>
            <rFont val="Tahoma"/>
            <family val="2"/>
          </rPr>
          <t xml:space="preserve">Ulises Demeneghi: Changed interval to exclude innovation points
</t>
        </r>
      </text>
    </comment>
    <comment ref="R138" authorId="1" shapeId="0" xr:uid="{00000000-0006-0000-0500-000007000000}">
      <text>
        <r>
          <rPr>
            <b/>
            <sz val="10"/>
            <color indexed="81"/>
            <rFont val="Tahoma"/>
            <family val="2"/>
          </rPr>
          <t xml:space="preserve">Ulises Demeneghi </t>
        </r>
        <r>
          <rPr>
            <sz val="10"/>
            <color indexed="81"/>
            <rFont val="Tahoma"/>
            <family val="2"/>
          </rPr>
          <t xml:space="preserve">
Corrected formula according to the one in Interiors</t>
        </r>
      </text>
    </comment>
  </commentList>
</comments>
</file>

<file path=xl/sharedStrings.xml><?xml version="1.0" encoding="utf-8"?>
<sst xmlns="http://schemas.openxmlformats.org/spreadsheetml/2006/main" count="1717" uniqueCount="630">
  <si>
    <t>Disclaimer</t>
  </si>
  <si>
    <t>Introduction</t>
  </si>
  <si>
    <t>Using the Scorecard</t>
  </si>
  <si>
    <t>Inputs can be made for the following fields:</t>
  </si>
  <si>
    <t>- 'Targeted performance level' for each credit</t>
  </si>
  <si>
    <t>- Points available for Leadership Challenges</t>
  </si>
  <si>
    <t>The targeted performance level can be selected for each credit and a sum of points across the relevant performance levels are provided in 'Total points targeted'. When multiple point values are available for a chosen performance level, the cell in the 'Total Points Targeted' column will be highlighted in red for the user to enter a custom value within the available points range.</t>
  </si>
  <si>
    <t>Each category has a sum for the total points targeted in that category</t>
  </si>
  <si>
    <t>Terms &amp; definitions</t>
  </si>
  <si>
    <t>Summary - Net Zero Ready Pathway</t>
  </si>
  <si>
    <t>Registering from</t>
  </si>
  <si>
    <t>The range of years which the project registers from will determine the requirements of the pathway. See submission guidelines for more information.</t>
  </si>
  <si>
    <t>Desired Green Star rating</t>
  </si>
  <si>
    <r>
      <t xml:space="preserve">The pathway also depends on the rating that the project is seeking. Each rating will have to meet a different level of requirements in the pathway. The requirements for the desired rating will be coloured in </t>
    </r>
    <r>
      <rPr>
        <b/>
        <sz val="10"/>
        <color rgb="FF005687"/>
        <rFont val="Arial"/>
        <family val="2"/>
        <scheme val="minor"/>
      </rPr>
      <t>blue</t>
    </r>
    <r>
      <rPr>
        <sz val="10"/>
        <color rgb="FF000000"/>
        <rFont val="Arial"/>
        <family val="2"/>
        <scheme val="minor"/>
      </rPr>
      <t xml:space="preserve"> for each relevant credit's performance level (note this is different to the calculated targeted rating).</t>
    </r>
  </si>
  <si>
    <t>Summary - Scoring</t>
  </si>
  <si>
    <t>Minimum expectations met</t>
  </si>
  <si>
    <t>Indicates if all 16 Minimum Expectations in the rating tool have been met</t>
  </si>
  <si>
    <t>Core points targeted</t>
  </si>
  <si>
    <t>Sum of all points targeted, excluding those in the Leadership category. There are 100 core points available.</t>
  </si>
  <si>
    <t>Leadership points targeted</t>
  </si>
  <si>
    <t>Sum of points targeted in the Leadership category.</t>
  </si>
  <si>
    <t>Total points targeted</t>
  </si>
  <si>
    <t>Sum of the core points and Leadership points targeted. The total points targeted and assessed will always be capped at 100.</t>
  </si>
  <si>
    <t>Targeted Green Star rating</t>
  </si>
  <si>
    <t>The Green Star rating equivalent to the points targeted by the project. This ranges from 4 to 6 Star.</t>
  </si>
  <si>
    <t>Submission planner</t>
  </si>
  <si>
    <t>Minimum Expectation</t>
  </si>
  <si>
    <t>A dot is shown when a Minimum Expectation applies to the credit.</t>
  </si>
  <si>
    <t>Credit Achievement</t>
  </si>
  <si>
    <t>The number of points available if Credit Achievement can be targeted for the credit.</t>
  </si>
  <si>
    <t>Exceptional Performance</t>
  </si>
  <si>
    <t>The number of points available if Exceptional Performance can be targeted for the credit.</t>
  </si>
  <si>
    <t>Some credits have multiple point options avaialbe for Credit Achivement and Exceptional Performance. These cells will appear in red and the targeted score must be manually selected from the drop down list.</t>
  </si>
  <si>
    <t>Total points available</t>
  </si>
  <si>
    <t>Sum of points available for the credit across all performance levels.</t>
  </si>
  <si>
    <t>Targeted performance level</t>
  </si>
  <si>
    <t>Input for users to select the performance level being targeted for each credit</t>
  </si>
  <si>
    <t xml:space="preserve">Sum of points targeted for the credit based on the performance level selected. </t>
  </si>
  <si>
    <t>Comments</t>
  </si>
  <si>
    <t>Free text input to enter any comments about the credit to help plan the submission.</t>
  </si>
  <si>
    <t>Releases</t>
  </si>
  <si>
    <t>Rating tool</t>
  </si>
  <si>
    <t>Release</t>
  </si>
  <si>
    <t>Summary of changes</t>
  </si>
  <si>
    <t xml:space="preserve">Green Star Buildings v1 </t>
  </si>
  <si>
    <t>1 - 13/08/2024</t>
  </si>
  <si>
    <t>Initial release</t>
  </si>
  <si>
    <t>x</t>
  </si>
  <si>
    <t>Change log</t>
  </si>
  <si>
    <t>Date</t>
  </si>
  <si>
    <t>Sheets</t>
  </si>
  <si>
    <t>Range</t>
  </si>
  <si>
    <t>New value</t>
  </si>
  <si>
    <t>Old value</t>
  </si>
  <si>
    <t>Summary of change</t>
  </si>
  <si>
    <t>Author</t>
  </si>
  <si>
    <t>Reviewer</t>
  </si>
  <si>
    <t>Approver</t>
  </si>
  <si>
    <t>All sheets</t>
  </si>
  <si>
    <t>Password</t>
  </si>
  <si>
    <t>Dqr`UhzFKU</t>
  </si>
  <si>
    <t>Password for the entire workbook</t>
  </si>
  <si>
    <t>EC</t>
  </si>
  <si>
    <t>DV</t>
  </si>
  <si>
    <t>TC</t>
  </si>
  <si>
    <t>All</t>
  </si>
  <si>
    <t>New sheet</t>
  </si>
  <si>
    <t>Added a change log sheet</t>
  </si>
  <si>
    <t>B3</t>
  </si>
  <si>
    <t>&lt;blank&gt;</t>
  </si>
  <si>
    <t>Version 1</t>
  </si>
  <si>
    <t>Moved the version number and date from this sheet into the change log sheet</t>
  </si>
  <si>
    <t>B4</t>
  </si>
  <si>
    <t>29 October 2020</t>
  </si>
  <si>
    <t>3:4</t>
  </si>
  <si>
    <t>Row delete</t>
  </si>
  <si>
    <t>B5</t>
  </si>
  <si>
    <t>Using the submission planner</t>
  </si>
  <si>
    <t>Using the scorecard</t>
  </si>
  <si>
    <t>Updating wording to use this document as a submission planner rather than scorecard</t>
  </si>
  <si>
    <t>B6</t>
  </si>
  <si>
    <t>Selections and values can be entered into the 'Targeted performance level' and 'Comments' columns, as well as the points available for Credit Achievement under the Leadership category.</t>
  </si>
  <si>
    <t>Inputs are only required in the 'Targeted performance level' and 'Comments' columns with the exception for the points available for Credit Achievement under the Leadership Challenge credits.</t>
  </si>
  <si>
    <t>Scorecard</t>
  </si>
  <si>
    <t>4:4</t>
  </si>
  <si>
    <t>Row added</t>
  </si>
  <si>
    <t>Added a subheading for the summary at the top</t>
  </si>
  <si>
    <t>Summary</t>
  </si>
  <si>
    <t>F8</t>
  </si>
  <si>
    <t>=I83</t>
  </si>
  <si>
    <t>=MIN(10,I83)</t>
  </si>
  <si>
    <t>Removed the cap for Leadership category</t>
  </si>
  <si>
    <t>5:5</t>
  </si>
  <si>
    <t>Row insert</t>
  </si>
  <si>
    <t>Added an input for projects to select what year bracket they're registering from</t>
  </si>
  <si>
    <t>L14:M17, L6:M9</t>
  </si>
  <si>
    <t>Range Move</t>
  </si>
  <si>
    <t>Adding in the net zero requirements for each star rating across the 3 different registration periods</t>
  </si>
  <si>
    <t>L5</t>
  </si>
  <si>
    <t>Points scale and net zero requirements</t>
  </si>
  <si>
    <t>L6</t>
  </si>
  <si>
    <t>Points</t>
  </si>
  <si>
    <t>Green Star Buildings ratings</t>
  </si>
  <si>
    <t>M6</t>
  </si>
  <si>
    <t>Rating</t>
  </si>
  <si>
    <t>N6</t>
  </si>
  <si>
    <t>2020 onwards</t>
  </si>
  <si>
    <t>O6</t>
  </si>
  <si>
    <t>2023 onwards</t>
  </si>
  <si>
    <t>P6</t>
  </si>
  <si>
    <t>2026 onwards</t>
  </si>
  <si>
    <t>N7</t>
  </si>
  <si>
    <t>No</t>
  </si>
  <si>
    <t>Net zero requirements for 4 Star</t>
  </si>
  <si>
    <t>O7</t>
  </si>
  <si>
    <t>P7</t>
  </si>
  <si>
    <t>Yes</t>
  </si>
  <si>
    <t>N8</t>
  </si>
  <si>
    <t>Net zero requirements for 5 Star</t>
  </si>
  <si>
    <t>O8</t>
  </si>
  <si>
    <t>P8</t>
  </si>
  <si>
    <t>N9</t>
  </si>
  <si>
    <t>Net zero requirements for 6 Star</t>
  </si>
  <si>
    <t>O9</t>
  </si>
  <si>
    <t>P9</t>
  </si>
  <si>
    <t>L10</t>
  </si>
  <si>
    <t>Net zero required</t>
  </si>
  <si>
    <t>Checks the targeting rating and if net zero is required</t>
  </si>
  <si>
    <t>M10</t>
  </si>
  <si>
    <t>=IFNA(VLOOKUP(CAL_TotalPoints,REF_NetZeroRequirements,MATCH(IN_RegistratingFrom,L6:P6,0),TRUE),"")</t>
  </si>
  <si>
    <t>Net zero carbon in operations targeted</t>
  </si>
  <si>
    <t>Net zero in operations targeted</t>
  </si>
  <si>
    <t>Updated wording</t>
  </si>
  <si>
    <t>H6</t>
  </si>
  <si>
    <t>=IF(AND(IFNA(VLOOKUP(CAL_TotalPoints,REF_NetZeroRequirements,MATCH(IN_RegistratingFrom,L6:Q6,0),TRUE),"")="Yes",CAL_NetZeroTargeted="No"),"Net zero carbon in operations must be targeted for this rating","")</t>
  </si>
  <si>
    <t>Added in a message that pops up if net zero is required but hasn't been targeted</t>
  </si>
  <si>
    <t>B15</t>
  </si>
  <si>
    <t>Climate Positive Pathway targeted</t>
  </si>
  <si>
    <t>Updated wording for the Climate Positive Pathway</t>
  </si>
  <si>
    <t>DF</t>
  </si>
  <si>
    <t>B16</t>
  </si>
  <si>
    <t>Indicates if the Climate Positive Pathway has been targeted. The relevant credits in this pathway are in the Positive category and shaded in orange. This pathway is has 15 points if targeted: 14 from achieving the credits and 1 point added to Leadership Challenges. When targeted, the 1 Leadership Challenge point is automatically added to the total points targeted.</t>
  </si>
  <si>
    <t>Indicates if the Net zero in operations pathway has been targeted. The relevant credits in this pathway are in the Positive category and shaded in orange. This pathway is has 15 points if targeted: 14 from achieving the credits and 1 point added to Leadership Challenges. When targeted, the 1 Leadership Challenge point is automatically added to the total points targeted.</t>
  </si>
  <si>
    <t>Removed the formula for 'CAL_NetZeroRequired'</t>
  </si>
  <si>
    <t>Added the formula directly into the calculation for instruction if climate positive pathway must be targeted (cell H6)</t>
  </si>
  <si>
    <t>R5:W9, L5:P9</t>
  </si>
  <si>
    <t>Moved the climate positive requirements table</t>
  </si>
  <si>
    <t>R5</t>
  </si>
  <si>
    <t>Climate Positive requirements</t>
  </si>
  <si>
    <t>W6</t>
  </si>
  <si>
    <t>after 2030</t>
  </si>
  <si>
    <t>Adding in the net zero requirements for projects certified after 2030</t>
  </si>
  <si>
    <t>W7</t>
  </si>
  <si>
    <t>W8</t>
  </si>
  <si>
    <t>W9</t>
  </si>
  <si>
    <t>=IF(AND(IFNA(VLOOKUP(CAL_TotalPoints,REF_ClimatePositiveRequirements,MATCH(IN_RegistratingFrom,R6:W6,0),TRUE),"")="Yes",CAL_ClimatePositiveTargeted="No"),"The Climate Positive Pathway must be targeted for this rating","")</t>
  </si>
  <si>
    <t>=IF(AND(CAL_NetZeroRequired="Yes",CAL_NetZeroTargeted="No"),"Net zero carbon in operations must be targeted for this rating","")</t>
  </si>
  <si>
    <t>Updated wording for the Climate Positive Pathway and combined with formula for 'CAL_NetZeroRequired'</t>
  </si>
  <si>
    <t>L44</t>
  </si>
  <si>
    <t>Climate positive pathways</t>
  </si>
  <si>
    <t>Outlining the different requirements of the pathway</t>
  </si>
  <si>
    <t>M45:X45</t>
  </si>
  <si>
    <t># Star 20## onwards / after 2030</t>
  </si>
  <si>
    <t>List of all possible ratings and registering from / certified after years as per the climate positive pathway</t>
  </si>
  <si>
    <t>M46:X49</t>
  </si>
  <si>
    <t>Credit Achievement (1) / Exceptional Performance (2)</t>
  </si>
  <si>
    <t>List of the performance level requirements for the climate positive pathway</t>
  </si>
  <si>
    <t>Performance levels</t>
  </si>
  <si>
    <t>Assinging numerical values to each performance level to use in calculations</t>
  </si>
  <si>
    <t>L7</t>
  </si>
  <si>
    <t>Minimum Expectation = 0</t>
  </si>
  <si>
    <t>M7</t>
  </si>
  <si>
    <t>L8</t>
  </si>
  <si>
    <t>Credit Achievement = 1</t>
  </si>
  <si>
    <t>M8</t>
  </si>
  <si>
    <t>L9</t>
  </si>
  <si>
    <t>Exceptional Performance = 2</t>
  </si>
  <si>
    <t>M9</t>
  </si>
  <si>
    <t>L45</t>
  </si>
  <si>
    <t>Targeted</t>
  </si>
  <si>
    <t>Determine if climate positive pathway is targeted</t>
  </si>
  <si>
    <t>L46</t>
  </si>
  <si>
    <t>=VLOOKUP(H46,REF_PerformanceLevelValues,2,FALSE)&gt;=INDEX($M46:$X46,1,MATCH($P$6&amp;" "&amp;IN_RegistratingFrom,$M$45:$X$45,0))</t>
  </si>
  <si>
    <t>Check if the correct performance levels have been targeted for each credit in the pathway</t>
  </si>
  <si>
    <t>L47</t>
  </si>
  <si>
    <t>=VLOOKUP(H47,REF_PerformanceLevelValues,2,FALSE)&gt;=INDEX($M47:$X47,1,MATCH($P$6&amp;" "&amp;IN_RegistratingFrom,$M$45:$X$45,0))</t>
  </si>
  <si>
    <t>L48</t>
  </si>
  <si>
    <t>=VLOOKUP(H48,REF_PerformanceLevelValues,2,FALSE)&gt;=INDEX($M48:$X48,1,MATCH($P$6&amp;" "&amp;IN_RegistratingFrom,$M$45:$X$45,0))</t>
  </si>
  <si>
    <t>L49</t>
  </si>
  <si>
    <t>=VLOOKUP(H49,REF_PerformanceLevelValues,2,FALSE)&gt;=INDEX($M49:$X49,1,MATCH($P$6&amp;" "&amp;IN_RegistratingFrom,$M$45:$X$45,0))</t>
  </si>
  <si>
    <t>C6</t>
  </si>
  <si>
    <t>=IF(COUNTIF(L46:L49,TRUE)=4,"Yes","No")</t>
  </si>
  <si>
    <t>=IF(AND(COUNT(REF_NetZeroCredits)=4,CAL_PointsTargeted_21&gt;=D46,CAL_PointsTargeted_22&gt;=D47,CAL_PointsTargeted_23&gt;=SUM(D48:E48),CAL_PointsTargeted_24&gt;=D49),"Yes","No")</t>
  </si>
  <si>
    <t>Updated wording for Climate Positive Pathway and simplified formula</t>
  </si>
  <si>
    <t>O5</t>
  </si>
  <si>
    <t>Targeted rating without climate positive point</t>
  </si>
  <si>
    <t>Calculation of the targeted rating without adding the extra point for targeting the climate positive pathway</t>
  </si>
  <si>
    <t>Green Star rating</t>
  </si>
  <si>
    <t>Targeted rating</t>
  </si>
  <si>
    <t>=IFNA(VLOOKUP(P9,REF_PointsScale,2,TRUE),"")</t>
  </si>
  <si>
    <t>Targeted rating without leadership point for climate positive pathway formula is the same</t>
  </si>
  <si>
    <t>Core points</t>
  </si>
  <si>
    <t>=CAL_CorePoints</t>
  </si>
  <si>
    <t>Core points targeted remains the same</t>
  </si>
  <si>
    <t>Leadership points</t>
  </si>
  <si>
    <t>=IF(H81=$C$11,C81,IF(H81=$D$11,D81,IF(H81=$E$11,SUM(D81:E81),0)))+IF(H82=$C$11,C82,IF(H82=$D$11,D82,IF(H82=$E$11,SUM(D82:E82),0)))</t>
  </si>
  <si>
    <t>Leadership points targeted without point for climate positive pathway</t>
  </si>
  <si>
    <t>=MIN(100,P7+P8)</t>
  </si>
  <si>
    <t>Total points targeted without climate positive pathway point</t>
  </si>
  <si>
    <t>L50</t>
  </si>
  <si>
    <t>Total points</t>
  </si>
  <si>
    <t>Total points available for climate positive pathways</t>
  </si>
  <si>
    <t>M50:X50</t>
  </si>
  <si>
    <t>14; 16; 19</t>
  </si>
  <si>
    <t>Depending on the rating and year, points available for the climate positive pathways can be 14, 16, or 19</t>
  </si>
  <si>
    <t>I82</t>
  </si>
  <si>
    <t>=IF(H82=$C$11,C82,IF(H82=$D$11,D82,IF(H82=$E$11,SUM(D82:E82),0)))+IFNA(IF(AND(INDEX($M50:$X50,1,MATCH($P$6&amp;" "&amp;IN_RegistratingFrom,$M$45:$X$45,0))&lt;=15,CAL_ClimatePositiveTargeted="Yes"),1,0),0)</t>
  </si>
  <si>
    <t>=IF(H82=$C$11,C82,IF(H82=$D$11,D82,IF(H82=$E$11,SUM(D82:E82),0)))+IF(CAL_ClimatePositiveTargeted="Yes"),1,0)</t>
  </si>
  <si>
    <t>Leadership point for targeting climate positive pathway is only awarded if the pathway is worth 14 points i.e. up to 2026 for 4 Star, 2023 for 5 Star, and 2020 for 6 Star</t>
  </si>
  <si>
    <t>Separating the summary section into 2</t>
  </si>
  <si>
    <t>Climate Positive Pathway</t>
  </si>
  <si>
    <t>Providing a clear section to summarise all CPP requirements and targets</t>
  </si>
  <si>
    <t>B7</t>
  </si>
  <si>
    <t>Scoring</t>
  </si>
  <si>
    <t>Section to calculate points and targeted rating</t>
  </si>
  <si>
    <t>B5:F10</t>
  </si>
  <si>
    <t>Moved cells</t>
  </si>
  <si>
    <t>Moved cells around to have a clearer separate summary for scoring and for CPP</t>
  </si>
  <si>
    <t>D6</t>
  </si>
  <si>
    <t>Added in a section for teams to select the 'desired rating' so that they can see which CPP they will fall under</t>
  </si>
  <si>
    <t>D9</t>
  </si>
  <si>
    <t>Climate Positive Pathway met</t>
  </si>
  <si>
    <t>=IF(IFNA(VLOOKUP(IN_DesiredRating,S8:W10,MATCH(IN_RegistratingFrom,S7:W7,0),TRUE),"")="Yes","The Climate Positive Pathway must be targeted for the desired rating",IF(IFNA(VLOOKUP(IN_DesiredRating,S8:W10,MATCH(IN_RegistratingFrom,S7:W7,0),TRUE),"")="No","The Climate Positive Pathway is optional for the desired rating",""))</t>
  </si>
  <si>
    <t>Added in extra guidance to indicate if CPP is optional or not for the desired rating (as opposed to the calculated targeted rating)</t>
  </si>
  <si>
    <t>B17:B20</t>
  </si>
  <si>
    <t>Delete rows</t>
  </si>
  <si>
    <t>Removed the definitions for CA and EP points targeted which were removed from the summary</t>
  </si>
  <si>
    <t>B29</t>
  </si>
  <si>
    <t>Climate positive pathway met</t>
  </si>
  <si>
    <t>Updating terminology for instructions</t>
  </si>
  <si>
    <t>B30</t>
  </si>
  <si>
    <t>Indicates if the Climate Positive Pathway has been targeted. The relevant credits in this pathway are in the Positive category and are dependent on the project's targeted rating and year it is registring from or certified after. Once the year is selected and targeted rating calculated, these credits are shaded in green. This pathway is has 15 points if targeted: 14 from achieving the credits and 1 point added to Leadership Challenges. When targeted, the 1 Leadership Challenge point is automatically added to the total points targeted.</t>
  </si>
  <si>
    <t>Indicates if the Climate Positive Pathway has been targeted. The relevant credits in this pathway are in the Positive category and are dependent on the project's targeted rating and year it is registring from or certified after. Once the year is selected and targeted rating calculated, these credits are shaded in orange. This pathway is has 15 points if targeted: 14 from achieving the credits and 1 point added to Leadership Challenges. When targeted, the 1 Leadership Challenge point is automatically added to the total points targeted.</t>
  </si>
  <si>
    <t>B13</t>
  </si>
  <si>
    <t>Registering from / certified after</t>
  </si>
  <si>
    <t>B14</t>
  </si>
  <si>
    <t>The range of years which the project registers or certifies from will determine the requirements of the pathway</t>
  </si>
  <si>
    <t>The pathway also depends on the rating that the proejct is seeking. Each rating will have to meet a different level of requirements in the pathway. The credit requirements for the desired rating will be outlined with a blue border (note this is different to the final calculated targeted rating).</t>
  </si>
  <si>
    <t>Updated to match GSP v2 submission planner</t>
  </si>
  <si>
    <t>B8:F10</t>
  </si>
  <si>
    <t>Cells moved</t>
  </si>
  <si>
    <t>Rearranged the order of the scoring sumarry</t>
  </si>
  <si>
    <t>Green Star Buildings</t>
  </si>
  <si>
    <t>Project name:</t>
  </si>
  <si>
    <t>Core Points Available (Targeted)</t>
  </si>
  <si>
    <t>Project Score (Targeted)</t>
  </si>
  <si>
    <t>Project Score (Awarded)</t>
  </si>
  <si>
    <t>Total Points TBC</t>
  </si>
  <si>
    <r>
      <t xml:space="preserve">Post Round 1 Clarification </t>
    </r>
    <r>
      <rPr>
        <b/>
        <sz val="11"/>
        <color indexed="8"/>
        <rFont val="Arial"/>
        <family val="2"/>
      </rPr>
      <t xml:space="preserve">
Please enter type of clarification for each credit as follows:</t>
    </r>
  </si>
  <si>
    <r>
      <t xml:space="preserve">Post Round 1 Clarification </t>
    </r>
    <r>
      <rPr>
        <b/>
        <sz val="11"/>
        <color indexed="8"/>
        <rFont val="Arial"/>
        <family val="2"/>
      </rPr>
      <t xml:space="preserve">
Please enter type of clarification for each credit as follows.</t>
    </r>
    <r>
      <rPr>
        <b/>
        <sz val="11"/>
        <color rgb="FFFF0000"/>
        <rFont val="Arial"/>
        <family val="2"/>
      </rPr>
      <t xml:space="preserve"> Please note you can only chose 5 credits to ask for clarification and have to submit to NZGBC within 5 working days.</t>
    </r>
  </si>
  <si>
    <r>
      <t xml:space="preserve">Post Round 2 Clarification </t>
    </r>
    <r>
      <rPr>
        <b/>
        <sz val="11"/>
        <color indexed="8"/>
        <rFont val="Arial"/>
        <family val="2"/>
      </rPr>
      <t xml:space="preserve">
Please enter type of clarification for each credit as follows.</t>
    </r>
    <r>
      <rPr>
        <b/>
        <sz val="11"/>
        <color rgb="FFFF0000"/>
        <rFont val="Arial"/>
        <family val="2"/>
      </rPr>
      <t xml:space="preserve"> Please note you can only chose 5 credits to ask for clarification and have to submit to NZGBC within 5 working days.</t>
    </r>
  </si>
  <si>
    <t>Targeted Rating:</t>
  </si>
  <si>
    <r>
      <t xml:space="preserve">1. Documentation Clarification: </t>
    </r>
    <r>
      <rPr>
        <sz val="11"/>
        <color indexed="63"/>
        <rFont val="Arial"/>
        <family val="2"/>
      </rPr>
      <t xml:space="preserve">The project team wish to clarify the documentation requested in the Round 1 Assessment Comment </t>
    </r>
  </si>
  <si>
    <t>Minimum Expectations Met:</t>
  </si>
  <si>
    <t>Rating Achieved:</t>
  </si>
  <si>
    <t>CATEGORY / CREDIT</t>
  </si>
  <si>
    <t>CODE</t>
  </si>
  <si>
    <t>POINTS AVAILABLE</t>
  </si>
  <si>
    <t>POINTS TARGETED</t>
  </si>
  <si>
    <t xml:space="preserve"> POINTS AWARDED</t>
  </si>
  <si>
    <t xml:space="preserve"> POINTS 
TBC</t>
  </si>
  <si>
    <t>POINTS OUTCOME</t>
  </si>
  <si>
    <t xml:space="preserve"> Rd1 ASSESSMENT COMMENTS</t>
  </si>
  <si>
    <t>Type</t>
  </si>
  <si>
    <r>
      <t xml:space="preserve">Clarification Request 
</t>
    </r>
    <r>
      <rPr>
        <sz val="11"/>
        <color indexed="9"/>
        <rFont val="Arial"/>
        <family val="2"/>
      </rPr>
      <t>(GSAP to complete)</t>
    </r>
  </si>
  <si>
    <r>
      <t xml:space="preserve">Clarification from Assessors
</t>
    </r>
    <r>
      <rPr>
        <sz val="11"/>
        <color indexed="9"/>
        <rFont val="Arial"/>
        <family val="2"/>
      </rPr>
      <t xml:space="preserve">(To be completed by Assessors) </t>
    </r>
  </si>
  <si>
    <t xml:space="preserve"> Rd2 ASSESSMENT COMMENTS</t>
  </si>
  <si>
    <r>
      <t xml:space="preserve">Clarification Request PR1C
</t>
    </r>
    <r>
      <rPr>
        <sz val="11"/>
        <color indexed="9"/>
        <rFont val="Arial"/>
        <family val="2"/>
      </rPr>
      <t>(GSAP to complete)</t>
    </r>
  </si>
  <si>
    <r>
      <t xml:space="preserve">Clarification from Assessors
</t>
    </r>
    <r>
      <rPr>
        <sz val="11"/>
        <color indexed="9"/>
        <rFont val="Arial"/>
        <family val="2"/>
      </rPr>
      <t xml:space="preserve">(To be Completed by Assessors) </t>
    </r>
  </si>
  <si>
    <t>(Completed by Assessors only)</t>
  </si>
  <si>
    <t>Assessors comments including Point(s) Awarded/Denied</t>
  </si>
  <si>
    <t xml:space="preserve">Responsible </t>
  </si>
  <si>
    <t xml:space="preserve"> </t>
  </si>
  <si>
    <t>Industry development</t>
  </si>
  <si>
    <t>Responsible Construction</t>
  </si>
  <si>
    <t>•</t>
  </si>
  <si>
    <t>Complies</t>
  </si>
  <si>
    <t>Verification and Handover</t>
  </si>
  <si>
    <t>Core</t>
  </si>
  <si>
    <t>Awarded - Compliant</t>
  </si>
  <si>
    <t>Does not comply</t>
  </si>
  <si>
    <t>Responsible Resource Management</t>
  </si>
  <si>
    <t>Stage 1</t>
  </si>
  <si>
    <t>Awarded - Minor non-compliance</t>
  </si>
  <si>
    <t>Responsible Procurement</t>
  </si>
  <si>
    <t>Stage 2</t>
  </si>
  <si>
    <t>Not Awarded - Major non-compliance</t>
  </si>
  <si>
    <t>Responsible Structure</t>
  </si>
  <si>
    <t>Responsible Envelope</t>
  </si>
  <si>
    <t>Responsible Systems</t>
  </si>
  <si>
    <t xml:space="preserve">Responsible Finishes </t>
  </si>
  <si>
    <t>Total</t>
  </si>
  <si>
    <t>Healthy</t>
  </si>
  <si>
    <t>Clean Air</t>
  </si>
  <si>
    <t>Light Quality</t>
  </si>
  <si>
    <t>Acoustic Comfort</t>
  </si>
  <si>
    <t>Exposure to Toxins</t>
  </si>
  <si>
    <t>Therman Comfort and Amenity Spaces</t>
  </si>
  <si>
    <t>Connection to Nature</t>
  </si>
  <si>
    <t>Resilient</t>
  </si>
  <si>
    <t>Climate Change Resilience</t>
  </si>
  <si>
    <t>Operations Resilience</t>
  </si>
  <si>
    <t>Community Resilience</t>
  </si>
  <si>
    <t>Heat Resilience</t>
  </si>
  <si>
    <t>Positive</t>
  </si>
  <si>
    <t>Grid Resilience</t>
  </si>
  <si>
    <t>Upfront Carbon Emissions</t>
  </si>
  <si>
    <t>Energy Use</t>
  </si>
  <si>
    <t>Energy Source</t>
  </si>
  <si>
    <t>Other Carbon Emissions</t>
  </si>
  <si>
    <t>Water Use</t>
  </si>
  <si>
    <t>Life Cycle Impacts</t>
  </si>
  <si>
    <t>Places</t>
  </si>
  <si>
    <t>Movement and Place</t>
  </si>
  <si>
    <t>Enjoyable Places</t>
  </si>
  <si>
    <t>Contribution to Place</t>
  </si>
  <si>
    <t>Culture, Heritage and Identity</t>
  </si>
  <si>
    <t>People</t>
  </si>
  <si>
    <t>Inclusive Construction Practices</t>
  </si>
  <si>
    <t>Indigenous Inclusion</t>
  </si>
  <si>
    <t>Procurement and Workforce Inclusion</t>
  </si>
  <si>
    <t>Design for Inclusion</t>
  </si>
  <si>
    <t>Nature</t>
  </si>
  <si>
    <t>Impacts to Nature</t>
  </si>
  <si>
    <t>Biodiversity Enhancement</t>
  </si>
  <si>
    <t>Nature Connectivity</t>
  </si>
  <si>
    <t>Nature Stewardship</t>
  </si>
  <si>
    <t>Waterway Protection</t>
  </si>
  <si>
    <t>Leadership</t>
  </si>
  <si>
    <t>Market Transformation</t>
  </si>
  <si>
    <t>Leadership Challenges</t>
  </si>
  <si>
    <t>TOTALS</t>
  </si>
  <si>
    <t>AVAILABLE</t>
  </si>
  <si>
    <t>TARGETED</t>
  </si>
  <si>
    <t>AWARDED</t>
  </si>
  <si>
    <t>TBC</t>
  </si>
  <si>
    <t>CORE POINTS</t>
  </si>
  <si>
    <t>LEADERSHIP POINTS</t>
  </si>
  <si>
    <t>TOTAL SCORE TARGETED</t>
  </si>
  <si>
    <t>Outcome Count</t>
  </si>
  <si>
    <t>Stage 3</t>
  </si>
  <si>
    <t>Green Star - Design &amp; As Built NZv1.0 Scorecard</t>
  </si>
  <si>
    <t>Points Available</t>
  </si>
  <si>
    <t>NA Points</t>
  </si>
  <si>
    <t>NA - T/F</t>
  </si>
  <si>
    <t>Project:</t>
  </si>
  <si>
    <t>Core Points Available</t>
  </si>
  <si>
    <t xml:space="preserve">Total Score Targeted </t>
  </si>
  <si>
    <t>NA</t>
  </si>
  <si>
    <t>AIM OF THE CREDIT / SELECTION</t>
  </si>
  <si>
    <t>CREDIT CRITERIA</t>
  </si>
  <si>
    <t>SUBMISSION PLANNING</t>
  </si>
  <si>
    <t>Management</t>
  </si>
  <si>
    <t>Category</t>
  </si>
  <si>
    <t>Fixed Total</t>
  </si>
  <si>
    <t>Variable Total</t>
  </si>
  <si>
    <t>Points Claimed</t>
  </si>
  <si>
    <t>Points Awarded</t>
  </si>
  <si>
    <t>Points TBC</t>
  </si>
  <si>
    <t>Green Star Accredited Professional</t>
  </si>
  <si>
    <t>To recognise projects that engage a Green Star Accredited Professional to support the Green Star certification process.</t>
  </si>
  <si>
    <t>Accredited Professional</t>
  </si>
  <si>
    <t>Commissioning and Tuning</t>
  </si>
  <si>
    <t>To encourage and recognise commissioning, handover and tuning initiatives that ensure all building services operate to their full potential and as designed.</t>
  </si>
  <si>
    <t>Environmental Performance Targets</t>
  </si>
  <si>
    <t>Minimum Requirement</t>
  </si>
  <si>
    <t>Performance Pathway</t>
  </si>
  <si>
    <t>Indoor Environment Quality</t>
  </si>
  <si>
    <t>Services and Maintainability Review</t>
  </si>
  <si>
    <t>Prescriptive Pathway</t>
  </si>
  <si>
    <t>Energy</t>
  </si>
  <si>
    <t>Building Commissioning</t>
  </si>
  <si>
    <t>Transport</t>
  </si>
  <si>
    <t>Building Systems Tuning</t>
  </si>
  <si>
    <t>Water</t>
  </si>
  <si>
    <t>Independent Commissioning Agent</t>
  </si>
  <si>
    <t>Materials</t>
  </si>
  <si>
    <t>Adaptation and Resilience</t>
  </si>
  <si>
    <t>To encourage and recognise projects that are resilient to the impacts of a changing climate and natural disasters.</t>
  </si>
  <si>
    <t>Implementation of a Climate Adaptation Plan</t>
  </si>
  <si>
    <t>Land Use and Ecology</t>
  </si>
  <si>
    <t>Adaptation &amp; Resilience: Earthquake Resilience</t>
  </si>
  <si>
    <t>Emissions</t>
  </si>
  <si>
    <t>Building Information</t>
  </si>
  <si>
    <t>To recognise the development and provision of building information that facilitates operator and user understanding of a building's systems, their operation and maintenance requirements, and their environmental targets, to enable optimised performance.</t>
  </si>
  <si>
    <t>Total Points Available</t>
  </si>
  <si>
    <t>Commitment to Performance</t>
  </si>
  <si>
    <t>To recognise practices that encourage building owners, building occupants and facilities management teams to set targets and monitor environmental performance in a collaborative way.</t>
  </si>
  <si>
    <t>Environmental Building Performance</t>
  </si>
  <si>
    <t>Total Score</t>
  </si>
  <si>
    <t>Weight score i.e. accounting for N/As.</t>
  </si>
  <si>
    <t>End of Life Waste Performance</t>
  </si>
  <si>
    <t>Innovation</t>
  </si>
  <si>
    <t>Metering and Monitoring</t>
  </si>
  <si>
    <t>To recognise the implementation of effective energy and water metering and monitoring systems.</t>
  </si>
  <si>
    <t>Metering</t>
  </si>
  <si>
    <t>Total Final Score</t>
  </si>
  <si>
    <t>Final score i.e. weighted score + Innovation</t>
  </si>
  <si>
    <t>Monitoring Systems</t>
  </si>
  <si>
    <t>Responsible Building Practices</t>
  </si>
  <si>
    <t>To reward responsible construction practices that manage environmental impacts, enhance staff health and wellbeing, and improve sustainability knowledge on site.</t>
  </si>
  <si>
    <t>Environmental Management Plan</t>
  </si>
  <si>
    <t>Formalised Environmental Management System</t>
  </si>
  <si>
    <t>High Quality Staff Support</t>
  </si>
  <si>
    <t>Operational Waste</t>
  </si>
  <si>
    <t>8A</t>
  </si>
  <si>
    <t>Performance Pathway - Specialist Plan</t>
  </si>
  <si>
    <t>8B</t>
  </si>
  <si>
    <t>Prescriptive Pathway - Facilities</t>
  </si>
  <si>
    <t>Indoor Air Quality</t>
  </si>
  <si>
    <t>To recognise projects that provide high indoor air quality to occupants.</t>
  </si>
  <si>
    <t>Ventilation System Attributes</t>
  </si>
  <si>
    <t>Provision of Outdoor Air</t>
  </si>
  <si>
    <t>Exhaust or Elimination of Pollutants</t>
  </si>
  <si>
    <t>To reward projects that provide appropriate and comfortable acoustic conditions for occupants.</t>
  </si>
  <si>
    <t>Internal Noise Levels</t>
  </si>
  <si>
    <t>Reverberation</t>
  </si>
  <si>
    <t>Acoustic Separation</t>
  </si>
  <si>
    <t>Lighting Comfort</t>
  </si>
  <si>
    <t>To encourage and recognise well-lit spaces that provide a high degree of comfort to users.</t>
  </si>
  <si>
    <t>Minimum Lighting Comfort</t>
  </si>
  <si>
    <t>General Illuminance and Glare Reduction</t>
  </si>
  <si>
    <t>Surface Illuminance</t>
  </si>
  <si>
    <t>Localised Lighting Control</t>
  </si>
  <si>
    <t>Visual Comfort</t>
  </si>
  <si>
    <t>To recognise the delivery of well-lit spaces that provide high levels of visual comfort to building occupants.</t>
  </si>
  <si>
    <t>Glare Reduction</t>
  </si>
  <si>
    <t>Daylight</t>
  </si>
  <si>
    <t>Views</t>
  </si>
  <si>
    <t>Indoor Pollutants</t>
  </si>
  <si>
    <t>To recognise projects that safeguard occupant health through the reduction in internal air pollutant levels.</t>
  </si>
  <si>
    <t>Paints, Adhesives, Sealants and Carpets</t>
  </si>
  <si>
    <t>Engineered Wood Products</t>
  </si>
  <si>
    <t>Thermal Comfort</t>
  </si>
  <si>
    <t>To recognise projects that achieve high levels of thermal comfort.</t>
  </si>
  <si>
    <t>Advanced Thermal Comfort</t>
  </si>
  <si>
    <t>Greenhouse Gas Emissions</t>
  </si>
  <si>
    <t>To encourage energy efficient buildings and the reduction of greenhouse gas (GHG) emissions associated with the use of energy in building operations.</t>
  </si>
  <si>
    <t>15E.0</t>
  </si>
  <si>
    <t>Conditional Requirement: Reference Building Pathway</t>
  </si>
  <si>
    <t>Conditional Requirement</t>
  </si>
  <si>
    <t>15E.1</t>
  </si>
  <si>
    <t>Reference Building Pathway</t>
  </si>
  <si>
    <t>Peak Electricity Demand Reduction</t>
  </si>
  <si>
    <t>16A</t>
  </si>
  <si>
    <t>Prescriptive Pathway: On-site Energy Generation</t>
  </si>
  <si>
    <t>16B</t>
  </si>
  <si>
    <t>Modelled Performance Pathway: Reference Building</t>
  </si>
  <si>
    <t>Sustainable Transport</t>
  </si>
  <si>
    <t>To reward projects that implement design and operational measures that reduce the carbon emissions arising from occupant travel to and from the project, when compared to a reference building. This also promotes the health and fitness of commuters, and the increased liveability of the location.</t>
  </si>
  <si>
    <t>17B.1</t>
  </si>
  <si>
    <t>Access by Public Transport</t>
  </si>
  <si>
    <t>17B.2</t>
  </si>
  <si>
    <t>Reduced Car Parking Provision</t>
  </si>
  <si>
    <t>17B.3</t>
  </si>
  <si>
    <t>Low Emission Vehicle Infrastructure</t>
  </si>
  <si>
    <t>17B.4</t>
  </si>
  <si>
    <t>Active Transport Facilities</t>
  </si>
  <si>
    <t>17B.5</t>
  </si>
  <si>
    <t>Walkable Neighbourhoods</t>
  </si>
  <si>
    <t>Potable Water</t>
  </si>
  <si>
    <t>18A.1</t>
  </si>
  <si>
    <t>Potable Water - Performance Pathway</t>
  </si>
  <si>
    <t>18B.1</t>
  </si>
  <si>
    <t>Sanitary Fixture Efficiency</t>
  </si>
  <si>
    <t>18B.2</t>
  </si>
  <si>
    <t>Rainwater Reuse</t>
  </si>
  <si>
    <t>18B.3</t>
  </si>
  <si>
    <t>Heat Rejection</t>
  </si>
  <si>
    <t>18B.4</t>
  </si>
  <si>
    <t>Landscape Irrigation</t>
  </si>
  <si>
    <t>18B.5</t>
  </si>
  <si>
    <t>Fire System Test Water</t>
  </si>
  <si>
    <t>Life Cycle Assessment/Impacts</t>
  </si>
  <si>
    <t>Prescriptive Pathway - Life Cycle Impacts</t>
  </si>
  <si>
    <t>19A.1</t>
  </si>
  <si>
    <t>Comparative Life Cycle Assessment</t>
  </si>
  <si>
    <t>19A.2</t>
  </si>
  <si>
    <t>Additional Reporting</t>
  </si>
  <si>
    <t>19B.1</t>
  </si>
  <si>
    <t>Concrete</t>
  </si>
  <si>
    <t>19B.2</t>
  </si>
  <si>
    <t>Steel</t>
  </si>
  <si>
    <t>19B.3</t>
  </si>
  <si>
    <t>Building Reuse</t>
  </si>
  <si>
    <t>Structural Timber</t>
  </si>
  <si>
    <t>Responsible Building Materials</t>
  </si>
  <si>
    <t>To reward projects that include building materials that are responsibly sourced or have a sustainable supply chain.</t>
  </si>
  <si>
    <t>Structural and Reinforcing Steel</t>
  </si>
  <si>
    <t xml:space="preserve">Timber </t>
  </si>
  <si>
    <t>Permanent Formwork, Pipes, Flooring, Blinds and Cables</t>
  </si>
  <si>
    <t>Sustainable Products</t>
  </si>
  <si>
    <t>To encourage sustainability and transparency in product specification.</t>
  </si>
  <si>
    <t>Product Transparency and Sustainability</t>
  </si>
  <si>
    <t>Construction and Demolition Waste</t>
  </si>
  <si>
    <t>Fixed Benchmark</t>
  </si>
  <si>
    <t>22A</t>
  </si>
  <si>
    <t>22B</t>
  </si>
  <si>
    <t>Percentage Benchmark</t>
  </si>
  <si>
    <t>Performance Pathway - Life Cycle Assessment</t>
  </si>
  <si>
    <t>Land Use &amp; Ecology</t>
  </si>
  <si>
    <t>Ecological Value</t>
  </si>
  <si>
    <t>To reward projects that improve the ecological value of their site.</t>
  </si>
  <si>
    <t>Endangered, Threatened or Vulnerable Species</t>
  </si>
  <si>
    <t>Sustainable Sites</t>
  </si>
  <si>
    <t>To reward projects that choose to develop sites that have limited ecological value, that reuse previously developed land, and that remediate contaminated land.</t>
  </si>
  <si>
    <t>Reuse of Land</t>
  </si>
  <si>
    <t>Contamination and Hazardous Materials</t>
  </si>
  <si>
    <t>Stormwater</t>
  </si>
  <si>
    <t>To reward projects that minimise peak storm water outflows from the site and reduce pollutants entering the public sewer infrastructure or other water bodies.</t>
  </si>
  <si>
    <t>Stormwater Peak Discharge</t>
  </si>
  <si>
    <t>Stormwater Pollution Targets</t>
  </si>
  <si>
    <t>Light Pollution</t>
  </si>
  <si>
    <t>To reward projects that minimise light pollution.</t>
  </si>
  <si>
    <t>Light Pollution to Neighbouring Bodies</t>
  </si>
  <si>
    <t>Light Pollution to Night Sky</t>
  </si>
  <si>
    <t>Microbial Control</t>
  </si>
  <si>
    <t>To recognise projects that implement systems to minimise the impacts associated with harmful microbes in building cooling systems.</t>
  </si>
  <si>
    <t>Legionella Impacts from Cooling Systems</t>
  </si>
  <si>
    <t>Refrigerant Impacts</t>
  </si>
  <si>
    <t>To encourage practices that minimise the environmental impacts of refrigeration and air conditioning equipment.</t>
  </si>
  <si>
    <t>Refrigerants Impacts</t>
  </si>
  <si>
    <t>Innovative Technology or Process</t>
  </si>
  <si>
    <t>The project meets the aims of an existing credit using a technology or process that is considered innovative in Australia or the world.</t>
  </si>
  <si>
    <t>30A</t>
  </si>
  <si>
    <t>The project has undertaken a sustainability initiative that substantially contributes to the broader market transformation towards sustainable development in Australia or in the world.</t>
  </si>
  <si>
    <t>30B</t>
  </si>
  <si>
    <t>Improving on Green Star Benchmarks</t>
  </si>
  <si>
    <t>The project has achieved full points in a Green Star credit and demonstrates a substantial improvement on the benchmark required to achieve full points.</t>
  </si>
  <si>
    <t>30C</t>
  </si>
  <si>
    <t>Innovation Challenge</t>
  </si>
  <si>
    <t>Where the project addresses an sustainability issue not included within any of the Credits in the existing Green Star rating tools.</t>
  </si>
  <si>
    <t>30D</t>
  </si>
  <si>
    <t>Global Sustainability</t>
  </si>
  <si>
    <t>Project teams may adopt an approved credit from a Global Green Building Rating tool that addresses a sustainability issue that is currently outside the scope of this Green Star rating tools.</t>
  </si>
  <si>
    <t>30E</t>
  </si>
  <si>
    <t>TOTAL NA POINTS</t>
  </si>
  <si>
    <t>CATEGORY PERCENTAGE SCORE</t>
  </si>
  <si>
    <t>INNOVATION POINTS</t>
  </si>
  <si>
    <t>Green Star NZ - Design &amp; As Built Pilot Scorecard</t>
  </si>
  <si>
    <t>Clarification of Assessment Comments</t>
  </si>
  <si>
    <t>X</t>
  </si>
  <si>
    <t>R1</t>
  </si>
  <si>
    <t>Total Points Awarded</t>
  </si>
  <si>
    <r>
      <rPr>
        <b/>
        <sz val="11"/>
        <color theme="1"/>
        <rFont val="Arial"/>
        <family val="2"/>
      </rPr>
      <t>Query Type</t>
    </r>
    <r>
      <rPr>
        <sz val="11"/>
        <color theme="1"/>
        <rFont val="Arial"/>
        <family val="2"/>
      </rPr>
      <t xml:space="preserve">
1. Clarifying the documentation requested in the assessment comment. 
2. Clarifying apparent inconsistencies between the assessment comment and Submission Guideline requirements.
3. Documentation was included but missed during the assessment.</t>
    </r>
  </si>
  <si>
    <t>ASSIGNED STAGE</t>
  </si>
  <si>
    <t>ASSESSOR COMPLETED STAGE</t>
  </si>
  <si>
    <t>OUTCOME</t>
  </si>
  <si>
    <t xml:space="preserve"> ASSESSMENT COMMENTS</t>
  </si>
  <si>
    <t>QUERY TYPE</t>
  </si>
  <si>
    <t>Round 1 Query</t>
  </si>
  <si>
    <t>Requested Action by the project team</t>
  </si>
  <si>
    <t>NZGBC Comments</t>
  </si>
  <si>
    <t>Assessor Response</t>
  </si>
  <si>
    <t>1,2 or 3</t>
  </si>
  <si>
    <t>Provide an explanation of the project team’s questions/comments regarding the assessment comments.</t>
  </si>
  <si>
    <t>Explain what action the project would like taken, e.g. comment be clarified, comment be removed, point awarded, etc.</t>
  </si>
  <si>
    <t>To recognise the appointment and active involvement of a Green Star Accredited Professional in order to ensure that the rating tool is applied effectively and as intended.</t>
  </si>
  <si>
    <t>To encourage and recognise commissioning, handover and tuning initiatives that ensure all building services operate to their full potential.</t>
  </si>
  <si>
    <t>-</t>
  </si>
  <si>
    <t>To recognise the development and provision of building information that facilitates understanding of a building's systems, operation and maintenance requirements, and environmental targets to enable the optimised performance.</t>
  </si>
  <si>
    <t>To reward projects that use best practice formal environmental management procedures during construction.</t>
  </si>
  <si>
    <t>To recognise projects that provide high air quality to occupants.</t>
  </si>
  <si>
    <t>To encourage and recognise projects that achieve high levels of thermal comfort.</t>
  </si>
  <si>
    <t>A. Prescriptive Pathway</t>
  </si>
  <si>
    <t>15A.0</t>
  </si>
  <si>
    <t>Conditional Requirement: Prescriptive Pathway</t>
  </si>
  <si>
    <t>15A.1</t>
  </si>
  <si>
    <t>Building Envelope</t>
  </si>
  <si>
    <t xml:space="preserve">B. NatHERS Pathway </t>
  </si>
  <si>
    <t>15A.2</t>
  </si>
  <si>
    <t>Glazing</t>
  </si>
  <si>
    <t>C. BASIX Pathway</t>
  </si>
  <si>
    <t>15A.3</t>
  </si>
  <si>
    <t>Lighting</t>
  </si>
  <si>
    <t>D. NABERS Pathway</t>
  </si>
  <si>
    <t>15A.4</t>
  </si>
  <si>
    <t>Ventilation and Air-conditioning</t>
  </si>
  <si>
    <t>E. Modelled Performance Pathway</t>
  </si>
  <si>
    <t>15A.5</t>
  </si>
  <si>
    <t>Domestic Hot Water Systems</t>
  </si>
  <si>
    <t>15A.6</t>
  </si>
  <si>
    <t>Accredited GreenPower</t>
  </si>
  <si>
    <t>15B.0</t>
  </si>
  <si>
    <t>Conditional Requirement: NatHERS Pathway</t>
  </si>
  <si>
    <t>15B.1</t>
  </si>
  <si>
    <t>NatHERS Pathway</t>
  </si>
  <si>
    <t>15C.0</t>
  </si>
  <si>
    <t>Conditional Requirement: BASIX Pathway</t>
  </si>
  <si>
    <t>15C.1</t>
  </si>
  <si>
    <t>BASIX Pathway</t>
  </si>
  <si>
    <t>15D.0</t>
  </si>
  <si>
    <t>Conditional Requirement: NABERS Pathway</t>
  </si>
  <si>
    <t>15D.1</t>
  </si>
  <si>
    <t>NABERS Energy Commitment Agreement Pathway</t>
  </si>
  <si>
    <t>Comparison to a Reference Building Pathway</t>
  </si>
  <si>
    <t>Prescriptive Pathway - On-site Energy Generation</t>
  </si>
  <si>
    <t>Performance Pathway - Reference Building</t>
  </si>
  <si>
    <t>17A.1</t>
  </si>
  <si>
    <t>Additional Life Cycle Impact Reporting</t>
  </si>
  <si>
    <t xml:space="preserve">To reward projects that include materials that are responsibly sourced or have a sustainable supply chain. </t>
  </si>
  <si>
    <t>Timber Products</t>
  </si>
  <si>
    <t xml:space="preserve">To encourage sustainability and transparency in product specification. </t>
  </si>
  <si>
    <t>To reward projects that choose to develop sites that have limited ecological value, re-use previously developed land and remediate contaminate land.</t>
  </si>
  <si>
    <t>Heat Island Effect</t>
  </si>
  <si>
    <t>To encourage and recognise projects that reduce the contribution of the project site to the heat island effect.</t>
  </si>
  <si>
    <t>Heat Island Effect Reduction</t>
  </si>
  <si>
    <t>To reward projects that minimise peak stormwater flows and reduce pollutants entering public sewer infrastructure.</t>
  </si>
  <si>
    <t>To recognise projects that implement systems to minimise the impacts associated with harmful microbes in building systems.</t>
  </si>
  <si>
    <t>To encourage operational practices that minimise the environmental impacts of refrigeration equipment.</t>
  </si>
  <si>
    <t>Stage Count</t>
  </si>
  <si>
    <t>Assessor Stage Count</t>
  </si>
  <si>
    <t>Assessment result</t>
  </si>
  <si>
    <t>CREDIT ACHIEVEMENT</t>
  </si>
  <si>
    <t>TARGETED PERFORMANCE LEVEL</t>
  </si>
  <si>
    <t>MINIMUM EXPECTATION</t>
  </si>
  <si>
    <t>EXCEPTIONAL PERFORMANCE</t>
  </si>
  <si>
    <r>
      <t>2. Compliance Criteria:</t>
    </r>
    <r>
      <rPr>
        <sz val="11"/>
        <color indexed="63"/>
        <rFont val="Arial"/>
        <family val="2"/>
      </rPr>
      <t xml:space="preserve">  The project team wish to draw attention to potential differences in expectations between the assessment comment and the Submission Guidelines requirements.</t>
    </r>
  </si>
  <si>
    <r>
      <t>3. Check Existing Documentation:</t>
    </r>
    <r>
      <rPr>
        <sz val="11"/>
        <color rgb="FF333333"/>
        <rFont val="Arial"/>
      </rPr>
      <t xml:space="preserve"> The project team wish to draw the Assessors' attention to documentation submitted previously that may have been overlooked during the assessment.</t>
    </r>
  </si>
  <si>
    <r>
      <t xml:space="preserve">3. Check Existing Documentation: </t>
    </r>
    <r>
      <rPr>
        <sz val="11"/>
        <color indexed="63"/>
        <rFont val="Arial"/>
        <family val="2"/>
      </rPr>
      <t xml:space="preserve">The project team wish to draw the Assessors' attention to documentation submitted previously that may have been overlooked during the assessment.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</si>
</sst>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C09]dd\-mmm\-yy;@"/>
    <numFmt numFmtId="166" formatCode="[$-F800]dddd\,\ mmmm\ dd\,\ yyyy"/>
  </numFmts>
  <fonts count="103" x14ac:knownFonts="1">
    <font>
      <sz val="11"/>
      <color theme="1"/>
      <name val="Arial"/>
      <family val="2"/>
      <scheme val="minor"/>
    </font>
    <font>
      <b/>
      <sz val="12"/>
      <color theme="0"/>
      <name val="Arial"/>
      <family val="2"/>
      <scheme val="minor"/>
    </font>
    <font>
      <sz val="10"/>
      <color theme="1"/>
      <name val="Arial"/>
      <family val="2"/>
      <scheme val="minor"/>
    </font>
    <font>
      <sz val="12"/>
      <color theme="1"/>
      <name val="Arial"/>
      <family val="2"/>
      <scheme val="minor"/>
    </font>
    <font>
      <b/>
      <sz val="11"/>
      <color theme="0"/>
      <name val="Arial"/>
      <family val="2"/>
      <scheme val="minor"/>
    </font>
    <font>
      <b/>
      <sz val="14"/>
      <color theme="0"/>
      <name val="Arial"/>
      <family val="2"/>
      <scheme val="minor"/>
    </font>
    <font>
      <sz val="10"/>
      <name val="Arial"/>
      <family val="2"/>
      <scheme val="minor"/>
    </font>
    <font>
      <sz val="14"/>
      <color theme="1"/>
      <name val="Arial"/>
      <family val="2"/>
      <scheme val="minor"/>
    </font>
    <font>
      <b/>
      <sz val="12"/>
      <name val="Arial"/>
      <family val="2"/>
      <scheme val="minor"/>
    </font>
    <font>
      <sz val="11"/>
      <color theme="1"/>
      <name val="Arial"/>
      <family val="2"/>
      <scheme val="minor"/>
    </font>
    <font>
      <sz val="11"/>
      <name val="Arial"/>
      <family val="2"/>
      <scheme val="minor"/>
    </font>
    <font>
      <sz val="10"/>
      <name val="Arial"/>
      <family val="2"/>
    </font>
    <font>
      <sz val="11"/>
      <color theme="0"/>
      <name val="Arial"/>
      <family val="2"/>
      <scheme val="minor"/>
    </font>
    <font>
      <sz val="11"/>
      <color theme="8" tint="0.39997558519241921"/>
      <name val="Arial"/>
      <family val="2"/>
      <scheme val="minor"/>
    </font>
    <font>
      <b/>
      <sz val="12"/>
      <color theme="1"/>
      <name val="Arial"/>
      <family val="2"/>
      <scheme val="minor"/>
    </font>
    <font>
      <b/>
      <sz val="14"/>
      <color theme="1"/>
      <name val="Century Gothic"/>
      <family val="2"/>
    </font>
    <font>
      <b/>
      <sz val="11"/>
      <color theme="1"/>
      <name val="Arial"/>
      <family val="2"/>
      <scheme val="minor"/>
    </font>
    <font>
      <b/>
      <sz val="10"/>
      <color rgb="FFFF0000"/>
      <name val="Arial"/>
      <family val="2"/>
      <scheme val="minor"/>
    </font>
    <font>
      <b/>
      <sz val="11"/>
      <name val="Arial"/>
      <family val="2"/>
      <scheme val="minor"/>
    </font>
    <font>
      <b/>
      <sz val="12"/>
      <color rgb="FFFF0000"/>
      <name val="Arial"/>
      <family val="2"/>
      <scheme val="minor"/>
    </font>
    <font>
      <sz val="10"/>
      <name val="Verdana"/>
      <family val="2"/>
    </font>
    <font>
      <sz val="8"/>
      <name val="Arial"/>
      <family val="2"/>
    </font>
    <font>
      <b/>
      <sz val="11"/>
      <color rgb="FFFF0000"/>
      <name val="Arial"/>
      <family val="2"/>
      <scheme val="minor"/>
    </font>
    <font>
      <b/>
      <sz val="12"/>
      <color theme="1"/>
      <name val="Century Gothic"/>
      <family val="2"/>
    </font>
    <font>
      <b/>
      <sz val="12"/>
      <color rgb="FFFF0000"/>
      <name val="Century Gothic"/>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8"/>
      <color indexed="81"/>
      <name val="Tahoma"/>
      <family val="2"/>
    </font>
    <font>
      <b/>
      <sz val="24"/>
      <color rgb="FF1F3860"/>
      <name val="Arial Black"/>
      <family val="2"/>
    </font>
    <font>
      <sz val="24"/>
      <color rgb="FF002060"/>
      <name val="Arial Black"/>
      <family val="2"/>
    </font>
    <font>
      <b/>
      <sz val="14"/>
      <color theme="1"/>
      <name val="Arial Black"/>
      <family val="2"/>
    </font>
    <font>
      <b/>
      <sz val="14"/>
      <color theme="1"/>
      <name val="Arial"/>
      <family val="2"/>
      <scheme val="minor"/>
    </font>
    <font>
      <sz val="11"/>
      <color indexed="81"/>
      <name val="Tahoma"/>
      <family val="2"/>
    </font>
    <font>
      <sz val="11"/>
      <color indexed="81"/>
      <name val="Arial"/>
      <family val="2"/>
    </font>
    <font>
      <b/>
      <sz val="10"/>
      <name val="Arial"/>
      <family val="2"/>
    </font>
    <font>
      <b/>
      <sz val="14"/>
      <name val="Arial"/>
      <family val="2"/>
    </font>
    <font>
      <sz val="9"/>
      <color theme="1"/>
      <name val="Arial"/>
      <family val="2"/>
    </font>
    <font>
      <b/>
      <sz val="12"/>
      <name val="Arial"/>
      <family val="2"/>
    </font>
    <font>
      <sz val="10"/>
      <color rgb="FF000000"/>
      <name val="Arial"/>
      <family val="2"/>
      <scheme val="minor"/>
    </font>
    <font>
      <sz val="11"/>
      <color theme="1"/>
      <name val="Arial"/>
      <family val="2"/>
    </font>
    <font>
      <b/>
      <sz val="11"/>
      <color theme="1"/>
      <name val="Arial"/>
      <family val="2"/>
    </font>
    <font>
      <sz val="10"/>
      <name val="Century Gothic"/>
      <family val="2"/>
    </font>
    <font>
      <sz val="9"/>
      <name val="Arial"/>
      <family val="2"/>
      <scheme val="minor"/>
    </font>
    <font>
      <b/>
      <sz val="10"/>
      <name val="Arial"/>
      <family val="2"/>
      <scheme val="minor"/>
    </font>
    <font>
      <b/>
      <sz val="10"/>
      <color indexed="81"/>
      <name val="Tahoma"/>
      <family val="2"/>
    </font>
    <font>
      <sz val="10"/>
      <color indexed="81"/>
      <name val="Tahoma"/>
      <family val="2"/>
    </font>
    <font>
      <b/>
      <sz val="20"/>
      <color rgb="FF1F3860"/>
      <name val="Arial Black"/>
      <family val="2"/>
    </font>
    <font>
      <sz val="10"/>
      <color rgb="FFFF0000"/>
      <name val="Arial"/>
      <family val="2"/>
      <scheme val="minor"/>
    </font>
    <font>
      <b/>
      <sz val="10"/>
      <color rgb="FF000000"/>
      <name val="Arial"/>
      <family val="2"/>
      <scheme val="minor"/>
    </font>
    <font>
      <b/>
      <sz val="12"/>
      <color rgb="FFFFFFFF"/>
      <name val="Arial"/>
      <family val="2"/>
    </font>
    <font>
      <sz val="12"/>
      <name val="Arial"/>
      <family val="2"/>
    </font>
    <font>
      <b/>
      <sz val="11"/>
      <color rgb="FFFFFFFF"/>
      <name val="Arial"/>
      <family val="2"/>
    </font>
    <font>
      <b/>
      <sz val="10"/>
      <color rgb="FFFFFFFF"/>
      <name val="Arial"/>
      <family val="2"/>
    </font>
    <font>
      <sz val="11"/>
      <color indexed="63"/>
      <name val="Arial"/>
      <family val="2"/>
    </font>
    <font>
      <sz val="11"/>
      <color indexed="22"/>
      <name val="Arial"/>
      <family val="2"/>
    </font>
    <font>
      <b/>
      <sz val="11"/>
      <color indexed="9"/>
      <name val="Arial"/>
      <family val="2"/>
    </font>
    <font>
      <b/>
      <sz val="11"/>
      <color indexed="63"/>
      <name val="Arial"/>
      <family val="2"/>
    </font>
    <font>
      <b/>
      <sz val="11"/>
      <color indexed="10"/>
      <name val="Arial"/>
      <family val="2"/>
    </font>
    <font>
      <b/>
      <sz val="20"/>
      <color indexed="56"/>
      <name val="Arial"/>
      <family val="2"/>
    </font>
    <font>
      <b/>
      <sz val="11"/>
      <color indexed="8"/>
      <name val="Arial"/>
      <family val="2"/>
    </font>
    <font>
      <sz val="12"/>
      <color indexed="63"/>
      <name val="Arial"/>
      <family val="2"/>
    </font>
    <font>
      <sz val="10"/>
      <color indexed="63"/>
      <name val="Arial"/>
      <family val="2"/>
    </font>
    <font>
      <sz val="11"/>
      <color indexed="9"/>
      <name val="Arial"/>
      <family val="2"/>
    </font>
    <font>
      <b/>
      <sz val="16"/>
      <color indexed="8"/>
      <name val="Arial"/>
      <family val="2"/>
    </font>
    <font>
      <b/>
      <sz val="10"/>
      <color theme="9"/>
      <name val="Arial"/>
      <family val="2"/>
    </font>
    <font>
      <sz val="10"/>
      <color theme="9"/>
      <name val="Arial"/>
      <family val="2"/>
    </font>
    <font>
      <b/>
      <sz val="10"/>
      <color theme="4"/>
      <name val="Arial"/>
      <family val="2"/>
    </font>
    <font>
      <b/>
      <sz val="11"/>
      <color rgb="FF333333"/>
      <name val="Arial"/>
    </font>
    <font>
      <sz val="11"/>
      <color rgb="FF333333"/>
      <name val="Arial"/>
    </font>
    <font>
      <b/>
      <sz val="11"/>
      <color rgb="FFFF0000"/>
      <name val="Arial"/>
      <family val="2"/>
    </font>
    <font>
      <sz val="10"/>
      <color theme="1"/>
      <name val="Arial"/>
      <family val="2"/>
    </font>
    <font>
      <sz val="20"/>
      <color theme="6"/>
      <name val="Arial"/>
      <family val="2"/>
    </font>
    <font>
      <b/>
      <sz val="14"/>
      <color theme="5"/>
      <name val="Arial"/>
      <family val="2"/>
      <scheme val="minor"/>
    </font>
    <font>
      <b/>
      <sz val="12"/>
      <color theme="8"/>
      <name val="Arial"/>
      <family val="2"/>
      <scheme val="minor"/>
    </font>
    <font>
      <b/>
      <sz val="10"/>
      <color theme="8"/>
      <name val="Arial"/>
      <family val="2"/>
      <scheme val="minor"/>
    </font>
    <font>
      <sz val="20"/>
      <color theme="6"/>
      <name val="Arial"/>
    </font>
    <font>
      <sz val="11"/>
      <color rgb="FF59B54F"/>
      <name val="Arial"/>
      <family val="2"/>
      <scheme val="minor"/>
    </font>
    <font>
      <sz val="20"/>
      <color rgb="FF006600"/>
      <name val="Arial"/>
      <family val="2"/>
    </font>
    <font>
      <b/>
      <sz val="10"/>
      <color theme="3"/>
      <name val="Arial"/>
      <family val="2"/>
      <scheme val="minor"/>
    </font>
    <font>
      <b/>
      <sz val="30"/>
      <color rgb="FF1F3860"/>
      <name val="Arial Black"/>
      <family val="2"/>
    </font>
    <font>
      <sz val="30"/>
      <color rgb="FF002060"/>
      <name val="Arial Black"/>
      <family val="2"/>
    </font>
    <font>
      <b/>
      <sz val="14"/>
      <color rgb="FF3F4450"/>
      <name val="Arial Black"/>
      <family val="2"/>
    </font>
    <font>
      <sz val="20"/>
      <color rgb="FF44883E"/>
      <name val="Arial"/>
      <family val="2"/>
      <scheme val="minor"/>
    </font>
    <font>
      <b/>
      <sz val="14"/>
      <color rgb="FF78BE21"/>
      <name val="Arial"/>
      <family val="2"/>
      <scheme val="minor"/>
    </font>
    <font>
      <b/>
      <sz val="12"/>
      <color rgb="FF005687"/>
      <name val="Arial"/>
      <family val="2"/>
      <scheme val="minor"/>
    </font>
    <font>
      <b/>
      <sz val="11"/>
      <color rgb="FF000000"/>
      <name val="Arial"/>
      <family val="2"/>
      <scheme val="minor"/>
    </font>
    <font>
      <b/>
      <sz val="10"/>
      <color rgb="FF005687"/>
      <name val="Arial"/>
      <family val="2"/>
      <scheme val="minor"/>
    </font>
    <font>
      <b/>
      <sz val="12"/>
      <name val="Century Gothic"/>
      <family val="2"/>
    </font>
  </fonts>
  <fills count="50">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4" tint="0.79998168889431442"/>
        <bgColor indexed="65"/>
      </patternFill>
    </fill>
    <fill>
      <patternFill patternType="solid">
        <fgColor theme="5" tint="0.39997558519241921"/>
        <bgColor indexed="65"/>
      </patternFill>
    </fill>
    <fill>
      <patternFill patternType="solid">
        <fgColor theme="3" tint="0.79998168889431442"/>
        <bgColor indexed="64"/>
      </patternFill>
    </fill>
    <fill>
      <patternFill patternType="solid">
        <fgColor rgb="FF000000"/>
        <bgColor indexed="64"/>
      </patternFill>
    </fill>
    <fill>
      <patternFill patternType="solid">
        <fgColor rgb="FF1F3862"/>
        <bgColor indexed="64"/>
      </patternFill>
    </fill>
    <fill>
      <patternFill patternType="solid">
        <fgColor theme="8" tint="0.79998168889431442"/>
        <bgColor indexed="64"/>
      </patternFill>
    </fill>
    <fill>
      <patternFill patternType="solid">
        <fgColor indexed="9"/>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6"/>
      </patternFill>
    </fill>
    <fill>
      <patternFill patternType="solid">
        <fgColor indexed="55"/>
      </patternFill>
    </fill>
    <fill>
      <patternFill patternType="solid">
        <fgColor indexed="42"/>
      </patternFill>
    </fill>
    <fill>
      <patternFill patternType="solid">
        <fgColor theme="4" tint="0.79998168889431442"/>
        <bgColor indexed="64"/>
      </patternFill>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rgb="FF000000"/>
        <bgColor rgb="FF000000"/>
      </patternFill>
    </fill>
    <fill>
      <patternFill patternType="solid">
        <fgColor rgb="FFC5D3ED"/>
        <bgColor indexed="64"/>
      </patternFill>
    </fill>
    <fill>
      <patternFill patternType="solid">
        <fgColor rgb="FFEBECED"/>
        <bgColor indexed="64"/>
      </patternFill>
    </fill>
    <fill>
      <patternFill patternType="solid">
        <fgColor rgb="FF1E3863"/>
        <bgColor indexed="64"/>
      </patternFill>
    </fill>
    <fill>
      <patternFill patternType="solid">
        <fgColor rgb="FFD9D9D9"/>
        <bgColor indexed="64"/>
      </patternFill>
    </fill>
    <fill>
      <patternFill patternType="solid">
        <fgColor rgb="FF4E5054"/>
        <bgColor indexed="64"/>
      </patternFill>
    </fill>
    <fill>
      <patternFill patternType="solid">
        <fgColor theme="9" tint="0.79998168889431442"/>
        <bgColor indexed="64"/>
      </patternFill>
    </fill>
    <fill>
      <patternFill patternType="solid">
        <fgColor rgb="FF539145"/>
        <bgColor indexed="64"/>
      </patternFill>
    </fill>
    <fill>
      <patternFill patternType="solid">
        <fgColor rgb="FF82C341"/>
        <bgColor indexed="64"/>
      </patternFill>
    </fill>
    <fill>
      <patternFill patternType="solid">
        <fgColor rgb="FF4AC0E0"/>
        <bgColor indexed="64"/>
      </patternFill>
    </fill>
    <fill>
      <patternFill patternType="solid">
        <fgColor rgb="FFFDBE4F"/>
        <bgColor indexed="64"/>
      </patternFill>
    </fill>
    <fill>
      <patternFill patternType="solid">
        <fgColor rgb="FFEA5B50"/>
        <bgColor indexed="64"/>
      </patternFill>
    </fill>
    <fill>
      <patternFill patternType="solid">
        <fgColor rgb="FFEFEFEF"/>
        <bgColor indexed="64"/>
      </patternFill>
    </fill>
    <fill>
      <patternFill patternType="solid">
        <fgColor rgb="FF25408F"/>
        <bgColor indexed="64"/>
      </patternFill>
    </fill>
    <fill>
      <patternFill patternType="solid">
        <fgColor rgb="FFB2CEA2"/>
        <bgColor indexed="64"/>
      </patternFill>
    </fill>
    <fill>
      <patternFill patternType="solid">
        <fgColor rgb="FFF26A39"/>
        <bgColor indexed="64"/>
      </patternFill>
    </fill>
    <fill>
      <patternFill patternType="solid">
        <fgColor theme="9" tint="0.59999389629810485"/>
        <bgColor indexed="64"/>
      </patternFill>
    </fill>
    <fill>
      <patternFill patternType="solid">
        <fgColor rgb="FFF2F3F4"/>
        <bgColor indexed="64"/>
      </patternFill>
    </fill>
    <fill>
      <patternFill patternType="solid">
        <fgColor theme="7"/>
        <bgColor indexed="64"/>
      </patternFill>
    </fill>
    <fill>
      <patternFill patternType="solid">
        <fgColor theme="6" tint="0.79998168889431442"/>
        <bgColor indexed="64"/>
      </patternFill>
    </fill>
    <fill>
      <patternFill patternType="solid">
        <fgColor rgb="FFFFC000"/>
        <bgColor indexed="64"/>
      </patternFill>
    </fill>
    <fill>
      <patternFill patternType="solid">
        <fgColor rgb="FFF2F3F4"/>
        <bgColor rgb="FF000000"/>
      </patternFill>
    </fill>
  </fills>
  <borders count="82">
    <border>
      <left/>
      <right/>
      <top/>
      <bottom/>
      <diagonal/>
    </border>
    <border>
      <left/>
      <right style="hair">
        <color theme="4"/>
      </right>
      <top/>
      <bottom/>
      <diagonal/>
    </border>
    <border>
      <left style="hair">
        <color theme="4"/>
      </left>
      <right style="hair">
        <color theme="4"/>
      </right>
      <top/>
      <bottom style="hair">
        <color theme="4"/>
      </bottom>
      <diagonal/>
    </border>
    <border>
      <left/>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style="hair">
        <color theme="4"/>
      </left>
      <right style="hair">
        <color auto="1"/>
      </right>
      <top/>
      <bottom style="hair">
        <color theme="4"/>
      </bottom>
      <diagonal/>
    </border>
    <border>
      <left style="hair">
        <color auto="1"/>
      </left>
      <right style="hair">
        <color auto="1"/>
      </right>
      <top/>
      <bottom style="hair">
        <color theme="4"/>
      </bottom>
      <diagonal/>
    </border>
    <border>
      <left style="hair">
        <color auto="1"/>
      </left>
      <right style="hair">
        <color theme="4"/>
      </right>
      <top style="hair">
        <color auto="1"/>
      </top>
      <bottom style="hair">
        <color auto="1"/>
      </bottom>
      <diagonal/>
    </border>
    <border>
      <left/>
      <right style="hair">
        <color auto="1"/>
      </right>
      <top style="hair">
        <color auto="1"/>
      </top>
      <bottom/>
      <diagonal/>
    </border>
    <border>
      <left style="hair">
        <color auto="1"/>
      </left>
      <right style="hair">
        <color theme="4"/>
      </right>
      <top/>
      <bottom style="hair">
        <color auto="1"/>
      </bottom>
      <diagonal/>
    </border>
    <border>
      <left style="hair">
        <color auto="1"/>
      </left>
      <right style="hair">
        <color auto="1"/>
      </right>
      <top style="hair">
        <color auto="1"/>
      </top>
      <bottom style="hair">
        <color theme="4"/>
      </bottom>
      <diagonal/>
    </border>
    <border>
      <left style="hair">
        <color auto="1"/>
      </left>
      <right style="hair">
        <color theme="4"/>
      </right>
      <top style="hair">
        <color auto="1"/>
      </top>
      <bottom/>
      <diagonal/>
    </border>
    <border>
      <left style="hair">
        <color theme="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hair">
        <color theme="4"/>
      </right>
      <top style="hair">
        <color auto="1"/>
      </top>
      <bottom style="hair">
        <color auto="1"/>
      </bottom>
      <diagonal/>
    </border>
    <border>
      <left style="hair">
        <color auto="1"/>
      </left>
      <right style="hair">
        <color auto="1"/>
      </right>
      <top style="hair">
        <color theme="4"/>
      </top>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style="hair">
        <color indexed="64"/>
      </top>
      <bottom style="hair">
        <color indexed="64"/>
      </bottom>
      <diagonal/>
    </border>
    <border>
      <left/>
      <right style="thin">
        <color indexed="64"/>
      </right>
      <top/>
      <bottom/>
      <diagonal/>
    </border>
    <border>
      <left/>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top style="hair">
        <color auto="1"/>
      </top>
      <bottom style="hair">
        <color auto="1"/>
      </bottom>
      <diagonal/>
    </border>
    <border>
      <left/>
      <right/>
      <top style="hair">
        <color auto="1"/>
      </top>
      <bottom/>
      <diagonal/>
    </border>
    <border>
      <left style="hair">
        <color auto="1"/>
      </left>
      <right/>
      <top style="hair">
        <color auto="1"/>
      </top>
      <bottom/>
      <diagonal/>
    </border>
    <border>
      <left style="hair">
        <color auto="1"/>
      </left>
      <right/>
      <top/>
      <bottom style="hair">
        <color auto="1"/>
      </bottom>
      <diagonal/>
    </border>
    <border>
      <left style="hair">
        <color auto="1"/>
      </left>
      <right/>
      <top/>
      <bottom/>
      <diagonal/>
    </border>
    <border>
      <left/>
      <right style="hair">
        <color auto="1"/>
      </right>
      <top style="hair">
        <color auto="1"/>
      </top>
      <bottom style="hair">
        <color auto="1"/>
      </bottom>
      <diagonal/>
    </border>
    <border>
      <left/>
      <right style="medium">
        <color auto="1"/>
      </right>
      <top style="medium">
        <color auto="1"/>
      </top>
      <bottom/>
      <diagonal/>
    </border>
    <border>
      <left/>
      <right/>
      <top style="medium">
        <color auto="1"/>
      </top>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hair">
        <color auto="1"/>
      </left>
      <right style="hair">
        <color auto="1"/>
      </right>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bottom style="thin">
        <color rgb="FF539145"/>
      </bottom>
      <diagonal/>
    </border>
    <border>
      <left/>
      <right/>
      <top style="thin">
        <color rgb="FF82C341"/>
      </top>
      <bottom style="thin">
        <color rgb="FF82C341"/>
      </bottom>
      <diagonal/>
    </border>
    <border>
      <left/>
      <right/>
      <top style="thin">
        <color rgb="FF4AC0E0"/>
      </top>
      <bottom style="thin">
        <color rgb="FF4AC0E0"/>
      </bottom>
      <diagonal/>
    </border>
    <border>
      <left/>
      <right/>
      <top style="thin">
        <color rgb="FFFDBE4F"/>
      </top>
      <bottom style="thin">
        <color rgb="FFFDBE4F"/>
      </bottom>
      <diagonal/>
    </border>
    <border>
      <left/>
      <right/>
      <top style="thin">
        <color rgb="FFEA5B50"/>
      </top>
      <bottom style="thin">
        <color rgb="FFEA5B50"/>
      </bottom>
      <diagonal/>
    </border>
    <border>
      <left/>
      <right/>
      <top style="thin">
        <color rgb="FF25408F"/>
      </top>
      <bottom style="thin">
        <color rgb="FF25408F"/>
      </bottom>
      <diagonal/>
    </border>
    <border>
      <left/>
      <right/>
      <top style="thin">
        <color rgb="FFB2CEA2"/>
      </top>
      <bottom style="thin">
        <color rgb="FFB2CEA2"/>
      </bottom>
      <diagonal/>
    </border>
    <border>
      <left/>
      <right/>
      <top style="thin">
        <color rgb="FFF26A39"/>
      </top>
      <bottom style="thin">
        <color rgb="FFF26A39"/>
      </bottom>
      <diagonal/>
    </border>
    <border>
      <left style="thick">
        <color theme="0"/>
      </left>
      <right style="thick">
        <color theme="0"/>
      </right>
      <top style="thin">
        <color auto="1"/>
      </top>
      <bottom style="thin">
        <color auto="1"/>
      </bottom>
      <diagonal/>
    </border>
    <border>
      <left/>
      <right style="medium">
        <color auto="1"/>
      </right>
      <top style="thin">
        <color auto="1"/>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tted">
        <color indexed="64"/>
      </left>
      <right/>
      <top style="dotted">
        <color indexed="64"/>
      </top>
      <bottom/>
      <diagonal/>
    </border>
    <border>
      <left/>
      <right style="dotted">
        <color indexed="64"/>
      </right>
      <top style="dotted">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dashed">
        <color indexed="64"/>
      </left>
      <right style="dashed">
        <color indexed="64"/>
      </right>
      <top/>
      <bottom style="thin">
        <color auto="1"/>
      </bottom>
      <diagonal/>
    </border>
    <border>
      <left style="dashed">
        <color indexed="64"/>
      </left>
      <right style="dashed">
        <color indexed="64"/>
      </right>
      <top style="thin">
        <color auto="1"/>
      </top>
      <bottom style="dashed">
        <color indexed="64"/>
      </bottom>
      <diagonal/>
    </border>
    <border>
      <left/>
      <right/>
      <top style="thin">
        <color rgb="FF25408F"/>
      </top>
      <bottom/>
      <diagonal/>
    </border>
    <border>
      <left/>
      <right/>
      <top style="thin">
        <color rgb="FFB2CEA2"/>
      </top>
      <bottom/>
      <diagonal/>
    </border>
    <border>
      <left/>
      <right/>
      <top style="thin">
        <color rgb="FFF26A39"/>
      </top>
      <bottom/>
      <diagonal/>
    </border>
    <border>
      <left/>
      <right/>
      <top/>
      <bottom style="thin">
        <color rgb="FF000000"/>
      </bottom>
      <diagonal/>
    </border>
    <border>
      <left/>
      <right style="thick">
        <color theme="0"/>
      </right>
      <top style="thin">
        <color auto="1"/>
      </top>
      <bottom style="thin">
        <color auto="1"/>
      </bottom>
      <diagonal/>
    </border>
    <border>
      <left style="thick">
        <color theme="0"/>
      </left>
      <right/>
      <top style="thin">
        <color auto="1"/>
      </top>
      <bottom style="thin">
        <color auto="1"/>
      </bottom>
      <diagonal/>
    </border>
  </borders>
  <cellStyleXfs count="237">
    <xf numFmtId="0" fontId="0" fillId="0" borderId="0"/>
    <xf numFmtId="165" fontId="11" fillId="0" borderId="0"/>
    <xf numFmtId="0" fontId="9" fillId="4" borderId="3" applyNumberFormat="0" applyAlignment="0" applyProtection="0"/>
    <xf numFmtId="0" fontId="12" fillId="5" borderId="0" applyNumberFormat="0" applyBorder="0" applyAlignment="0" applyProtection="0"/>
    <xf numFmtId="0" fontId="4" fillId="7" borderId="0">
      <alignment horizontal="center" vertical="center" wrapText="1"/>
      <protection locked="0"/>
    </xf>
    <xf numFmtId="0" fontId="13" fillId="9" borderId="3">
      <alignment vertical="center"/>
    </xf>
    <xf numFmtId="165" fontId="20" fillId="0" borderId="0"/>
    <xf numFmtId="0" fontId="20" fillId="0" borderId="0"/>
    <xf numFmtId="165" fontId="9" fillId="0" borderId="0"/>
    <xf numFmtId="165" fontId="25" fillId="10" borderId="0" applyNumberFormat="0" applyBorder="0" applyAlignment="0" applyProtection="0"/>
    <xf numFmtId="165" fontId="25" fillId="10" borderId="0" applyNumberFormat="0" applyBorder="0" applyAlignment="0" applyProtection="0"/>
    <xf numFmtId="165" fontId="25" fillId="10" borderId="0" applyNumberFormat="0" applyBorder="0" applyAlignment="0" applyProtection="0"/>
    <xf numFmtId="165" fontId="25" fillId="10" borderId="0" applyNumberFormat="0" applyBorder="0" applyAlignment="0" applyProtection="0"/>
    <xf numFmtId="165" fontId="25" fillId="10" borderId="0" applyNumberFormat="0" applyBorder="0" applyAlignment="0" applyProtection="0"/>
    <xf numFmtId="165" fontId="25" fillId="11" borderId="0" applyNumberFormat="0" applyBorder="0" applyAlignment="0" applyProtection="0"/>
    <xf numFmtId="165" fontId="25" fillId="11" borderId="0" applyNumberFormat="0" applyBorder="0" applyAlignment="0" applyProtection="0"/>
    <xf numFmtId="165" fontId="25" fillId="11" borderId="0" applyNumberFormat="0" applyBorder="0" applyAlignment="0" applyProtection="0"/>
    <xf numFmtId="165" fontId="25" fillId="11" borderId="0" applyNumberFormat="0" applyBorder="0" applyAlignment="0" applyProtection="0"/>
    <xf numFmtId="165" fontId="25" fillId="11" borderId="0" applyNumberFormat="0" applyBorder="0" applyAlignment="0" applyProtection="0"/>
    <xf numFmtId="165" fontId="25" fillId="12" borderId="0" applyNumberFormat="0" applyBorder="0" applyAlignment="0" applyProtection="0"/>
    <xf numFmtId="165" fontId="25" fillId="12" borderId="0" applyNumberFormat="0" applyBorder="0" applyAlignment="0" applyProtection="0"/>
    <xf numFmtId="165" fontId="25" fillId="12" borderId="0" applyNumberFormat="0" applyBorder="0" applyAlignment="0" applyProtection="0"/>
    <xf numFmtId="165" fontId="25" fillId="12" borderId="0" applyNumberFormat="0" applyBorder="0" applyAlignment="0" applyProtection="0"/>
    <xf numFmtId="165" fontId="25" fillId="12" borderId="0" applyNumberFormat="0" applyBorder="0" applyAlignment="0" applyProtection="0"/>
    <xf numFmtId="165" fontId="25" fillId="10" borderId="0" applyNumberFormat="0" applyBorder="0" applyAlignment="0" applyProtection="0"/>
    <xf numFmtId="165" fontId="25" fillId="10" borderId="0" applyNumberFormat="0" applyBorder="0" applyAlignment="0" applyProtection="0"/>
    <xf numFmtId="165" fontId="25" fillId="10" borderId="0" applyNumberFormat="0" applyBorder="0" applyAlignment="0" applyProtection="0"/>
    <xf numFmtId="165" fontId="25" fillId="10" borderId="0" applyNumberFormat="0" applyBorder="0" applyAlignment="0" applyProtection="0"/>
    <xf numFmtId="165" fontId="25" fillId="10" borderId="0" applyNumberFormat="0" applyBorder="0" applyAlignment="0" applyProtection="0"/>
    <xf numFmtId="165" fontId="25" fillId="13" borderId="0" applyNumberFormat="0" applyBorder="0" applyAlignment="0" applyProtection="0"/>
    <xf numFmtId="165" fontId="25" fillId="13" borderId="0" applyNumberFormat="0" applyBorder="0" applyAlignment="0" applyProtection="0"/>
    <xf numFmtId="165" fontId="25" fillId="13" borderId="0" applyNumberFormat="0" applyBorder="0" applyAlignment="0" applyProtection="0"/>
    <xf numFmtId="165" fontId="25" fillId="13" borderId="0" applyNumberFormat="0" applyBorder="0" applyAlignment="0" applyProtection="0"/>
    <xf numFmtId="165" fontId="25" fillId="13" borderId="0" applyNumberFormat="0" applyBorder="0" applyAlignment="0" applyProtection="0"/>
    <xf numFmtId="165" fontId="25" fillId="12" borderId="0" applyNumberFormat="0" applyBorder="0" applyAlignment="0" applyProtection="0"/>
    <xf numFmtId="165" fontId="25" fillId="12" borderId="0" applyNumberFormat="0" applyBorder="0" applyAlignment="0" applyProtection="0"/>
    <xf numFmtId="165" fontId="25" fillId="12" borderId="0" applyNumberFormat="0" applyBorder="0" applyAlignment="0" applyProtection="0"/>
    <xf numFmtId="165" fontId="25" fillId="12" borderId="0" applyNumberFormat="0" applyBorder="0" applyAlignment="0" applyProtection="0"/>
    <xf numFmtId="165" fontId="25" fillId="12" borderId="0" applyNumberFormat="0" applyBorder="0" applyAlignment="0" applyProtection="0"/>
    <xf numFmtId="165" fontId="25" fillId="14" borderId="0" applyNumberFormat="0" applyBorder="0" applyAlignment="0" applyProtection="0"/>
    <xf numFmtId="165" fontId="25" fillId="14" borderId="0" applyNumberFormat="0" applyBorder="0" applyAlignment="0" applyProtection="0"/>
    <xf numFmtId="165" fontId="25" fillId="14" borderId="0" applyNumberFormat="0" applyBorder="0" applyAlignment="0" applyProtection="0"/>
    <xf numFmtId="165" fontId="25" fillId="14" borderId="0" applyNumberFormat="0" applyBorder="0" applyAlignment="0" applyProtection="0"/>
    <xf numFmtId="165" fontId="25" fillId="14" borderId="0" applyNumberFormat="0" applyBorder="0" applyAlignment="0" applyProtection="0"/>
    <xf numFmtId="165" fontId="25" fillId="11" borderId="0" applyNumberFormat="0" applyBorder="0" applyAlignment="0" applyProtection="0"/>
    <xf numFmtId="165" fontId="25" fillId="11" borderId="0" applyNumberFormat="0" applyBorder="0" applyAlignment="0" applyProtection="0"/>
    <xf numFmtId="165" fontId="25" fillId="11" borderId="0" applyNumberFormat="0" applyBorder="0" applyAlignment="0" applyProtection="0"/>
    <xf numFmtId="165" fontId="25" fillId="11" borderId="0" applyNumberFormat="0" applyBorder="0" applyAlignment="0" applyProtection="0"/>
    <xf numFmtId="165" fontId="25" fillId="11" borderId="0" applyNumberFormat="0" applyBorder="0" applyAlignment="0" applyProtection="0"/>
    <xf numFmtId="165" fontId="25" fillId="15" borderId="0" applyNumberFormat="0" applyBorder="0" applyAlignment="0" applyProtection="0"/>
    <xf numFmtId="165" fontId="25" fillId="15" borderId="0" applyNumberFormat="0" applyBorder="0" applyAlignment="0" applyProtection="0"/>
    <xf numFmtId="165" fontId="25" fillId="15" borderId="0" applyNumberFormat="0" applyBorder="0" applyAlignment="0" applyProtection="0"/>
    <xf numFmtId="165" fontId="25" fillId="15" borderId="0" applyNumberFormat="0" applyBorder="0" applyAlignment="0" applyProtection="0"/>
    <xf numFmtId="165" fontId="25" fillId="15" borderId="0" applyNumberFormat="0" applyBorder="0" applyAlignment="0" applyProtection="0"/>
    <xf numFmtId="165" fontId="25" fillId="14" borderId="0" applyNumberFormat="0" applyBorder="0" applyAlignment="0" applyProtection="0"/>
    <xf numFmtId="165" fontId="25" fillId="14" borderId="0" applyNumberFormat="0" applyBorder="0" applyAlignment="0" applyProtection="0"/>
    <xf numFmtId="165" fontId="25" fillId="14" borderId="0" applyNumberFormat="0" applyBorder="0" applyAlignment="0" applyProtection="0"/>
    <xf numFmtId="165" fontId="25" fillId="14" borderId="0" applyNumberFormat="0" applyBorder="0" applyAlignment="0" applyProtection="0"/>
    <xf numFmtId="165" fontId="25" fillId="14" borderId="0" applyNumberFormat="0" applyBorder="0" applyAlignment="0" applyProtection="0"/>
    <xf numFmtId="165" fontId="25" fillId="13" borderId="0" applyNumberFormat="0" applyBorder="0" applyAlignment="0" applyProtection="0"/>
    <xf numFmtId="165" fontId="25" fillId="13" borderId="0" applyNumberFormat="0" applyBorder="0" applyAlignment="0" applyProtection="0"/>
    <xf numFmtId="165" fontId="25" fillId="13" borderId="0" applyNumberFormat="0" applyBorder="0" applyAlignment="0" applyProtection="0"/>
    <xf numFmtId="165" fontId="25" fillId="13" borderId="0" applyNumberFormat="0" applyBorder="0" applyAlignment="0" applyProtection="0"/>
    <xf numFmtId="165" fontId="25" fillId="13" borderId="0" applyNumberFormat="0" applyBorder="0" applyAlignment="0" applyProtection="0"/>
    <xf numFmtId="165" fontId="25" fillId="15" borderId="0" applyNumberFormat="0" applyBorder="0" applyAlignment="0" applyProtection="0"/>
    <xf numFmtId="165" fontId="25" fillId="15" borderId="0" applyNumberFormat="0" applyBorder="0" applyAlignment="0" applyProtection="0"/>
    <xf numFmtId="165" fontId="25" fillId="15" borderId="0" applyNumberFormat="0" applyBorder="0" applyAlignment="0" applyProtection="0"/>
    <xf numFmtId="165" fontId="25" fillId="15" borderId="0" applyNumberFormat="0" applyBorder="0" applyAlignment="0" applyProtection="0"/>
    <xf numFmtId="165" fontId="25" fillId="15"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1" borderId="0" applyNumberFormat="0" applyBorder="0" applyAlignment="0" applyProtection="0"/>
    <xf numFmtId="165" fontId="26" fillId="11" borderId="0" applyNumberFormat="0" applyBorder="0" applyAlignment="0" applyProtection="0"/>
    <xf numFmtId="165" fontId="26" fillId="11" borderId="0" applyNumberFormat="0" applyBorder="0" applyAlignment="0" applyProtection="0"/>
    <xf numFmtId="165" fontId="26" fillId="11" borderId="0" applyNumberFormat="0" applyBorder="0" applyAlignment="0" applyProtection="0"/>
    <xf numFmtId="165" fontId="26" fillId="11" borderId="0" applyNumberFormat="0" applyBorder="0" applyAlignment="0" applyProtection="0"/>
    <xf numFmtId="165" fontId="26" fillId="15" borderId="0" applyNumberFormat="0" applyBorder="0" applyAlignment="0" applyProtection="0"/>
    <xf numFmtId="165" fontId="26" fillId="15" borderId="0" applyNumberFormat="0" applyBorder="0" applyAlignment="0" applyProtection="0"/>
    <xf numFmtId="165" fontId="26" fillId="15" borderId="0" applyNumberFormat="0" applyBorder="0" applyAlignment="0" applyProtection="0"/>
    <xf numFmtId="165" fontId="26" fillId="15" borderId="0" applyNumberFormat="0" applyBorder="0" applyAlignment="0" applyProtection="0"/>
    <xf numFmtId="165" fontId="26" fillId="15" borderId="0" applyNumberFormat="0" applyBorder="0" applyAlignment="0" applyProtection="0"/>
    <xf numFmtId="165" fontId="26" fillId="14" borderId="0" applyNumberFormat="0" applyBorder="0" applyAlignment="0" applyProtection="0"/>
    <xf numFmtId="165" fontId="26" fillId="14" borderId="0" applyNumberFormat="0" applyBorder="0" applyAlignment="0" applyProtection="0"/>
    <xf numFmtId="165" fontId="26" fillId="14" borderId="0" applyNumberFormat="0" applyBorder="0" applyAlignment="0" applyProtection="0"/>
    <xf numFmtId="165" fontId="26" fillId="14" borderId="0" applyNumberFormat="0" applyBorder="0" applyAlignment="0" applyProtection="0"/>
    <xf numFmtId="165" fontId="26" fillId="14"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1" borderId="0" applyNumberFormat="0" applyBorder="0" applyAlignment="0" applyProtection="0"/>
    <xf numFmtId="165" fontId="26" fillId="11" borderId="0" applyNumberFormat="0" applyBorder="0" applyAlignment="0" applyProtection="0"/>
    <xf numFmtId="165" fontId="26" fillId="11" borderId="0" applyNumberFormat="0" applyBorder="0" applyAlignment="0" applyProtection="0"/>
    <xf numFmtId="165" fontId="26" fillId="11" borderId="0" applyNumberFormat="0" applyBorder="0" applyAlignment="0" applyProtection="0"/>
    <xf numFmtId="165" fontId="26" fillId="11"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7" borderId="0" applyNumberFormat="0" applyBorder="0" applyAlignment="0" applyProtection="0"/>
    <xf numFmtId="165" fontId="26" fillId="17" borderId="0" applyNumberFormat="0" applyBorder="0" applyAlignment="0" applyProtection="0"/>
    <xf numFmtId="165" fontId="26" fillId="17" borderId="0" applyNumberFormat="0" applyBorder="0" applyAlignment="0" applyProtection="0"/>
    <xf numFmtId="165" fontId="26" fillId="17" borderId="0" applyNumberFormat="0" applyBorder="0" applyAlignment="0" applyProtection="0"/>
    <xf numFmtId="165" fontId="26" fillId="17" borderId="0" applyNumberFormat="0" applyBorder="0" applyAlignment="0" applyProtection="0"/>
    <xf numFmtId="165" fontId="26" fillId="18" borderId="0" applyNumberFormat="0" applyBorder="0" applyAlignment="0" applyProtection="0"/>
    <xf numFmtId="165" fontId="26" fillId="18" borderId="0" applyNumberFormat="0" applyBorder="0" applyAlignment="0" applyProtection="0"/>
    <xf numFmtId="165" fontId="26" fillId="18" borderId="0" applyNumberFormat="0" applyBorder="0" applyAlignment="0" applyProtection="0"/>
    <xf numFmtId="165" fontId="26" fillId="18" borderId="0" applyNumberFormat="0" applyBorder="0" applyAlignment="0" applyProtection="0"/>
    <xf numFmtId="165" fontId="26" fillId="18" borderId="0" applyNumberFormat="0" applyBorder="0" applyAlignment="0" applyProtection="0"/>
    <xf numFmtId="165" fontId="26" fillId="19" borderId="0" applyNumberFormat="0" applyBorder="0" applyAlignment="0" applyProtection="0"/>
    <xf numFmtId="165" fontId="26" fillId="19" borderId="0" applyNumberFormat="0" applyBorder="0" applyAlignment="0" applyProtection="0"/>
    <xf numFmtId="165" fontId="26" fillId="19" borderId="0" applyNumberFormat="0" applyBorder="0" applyAlignment="0" applyProtection="0"/>
    <xf numFmtId="165" fontId="26" fillId="19" borderId="0" applyNumberFormat="0" applyBorder="0" applyAlignment="0" applyProtection="0"/>
    <xf numFmtId="165" fontId="26" fillId="19"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16" borderId="0" applyNumberFormat="0" applyBorder="0" applyAlignment="0" applyProtection="0"/>
    <xf numFmtId="165" fontId="26" fillId="20" borderId="0" applyNumberFormat="0" applyBorder="0" applyAlignment="0" applyProtection="0"/>
    <xf numFmtId="165" fontId="26" fillId="20" borderId="0" applyNumberFormat="0" applyBorder="0" applyAlignment="0" applyProtection="0"/>
    <xf numFmtId="165" fontId="26" fillId="20" borderId="0" applyNumberFormat="0" applyBorder="0" applyAlignment="0" applyProtection="0"/>
    <xf numFmtId="165" fontId="26" fillId="20" borderId="0" applyNumberFormat="0" applyBorder="0" applyAlignment="0" applyProtection="0"/>
    <xf numFmtId="165" fontId="26" fillId="20" borderId="0" applyNumberFormat="0" applyBorder="0" applyAlignment="0" applyProtection="0"/>
    <xf numFmtId="165" fontId="27" fillId="21" borderId="0" applyNumberFormat="0" applyBorder="0" applyAlignment="0" applyProtection="0"/>
    <xf numFmtId="165" fontId="27" fillId="21" borderId="0" applyNumberFormat="0" applyBorder="0" applyAlignment="0" applyProtection="0"/>
    <xf numFmtId="165" fontId="27" fillId="21" borderId="0" applyNumberFormat="0" applyBorder="0" applyAlignment="0" applyProtection="0"/>
    <xf numFmtId="165" fontId="27" fillId="21" borderId="0" applyNumberFormat="0" applyBorder="0" applyAlignment="0" applyProtection="0"/>
    <xf numFmtId="165" fontId="27" fillId="21" borderId="0" applyNumberFormat="0" applyBorder="0" applyAlignment="0" applyProtection="0"/>
    <xf numFmtId="165" fontId="28" fillId="10" borderId="17" applyNumberFormat="0" applyAlignment="0" applyProtection="0"/>
    <xf numFmtId="165" fontId="28" fillId="10" borderId="17" applyNumberFormat="0" applyAlignment="0" applyProtection="0"/>
    <xf numFmtId="165" fontId="28" fillId="10" borderId="17" applyNumberFormat="0" applyAlignment="0" applyProtection="0"/>
    <xf numFmtId="165" fontId="28" fillId="10" borderId="17" applyNumberFormat="0" applyAlignment="0" applyProtection="0"/>
    <xf numFmtId="165" fontId="28" fillId="10" borderId="17" applyNumberFormat="0" applyAlignment="0" applyProtection="0"/>
    <xf numFmtId="165" fontId="29" fillId="22" borderId="18" applyNumberFormat="0" applyAlignment="0" applyProtection="0"/>
    <xf numFmtId="165" fontId="29" fillId="22" borderId="18" applyNumberFormat="0" applyAlignment="0" applyProtection="0"/>
    <xf numFmtId="165" fontId="29" fillId="22" borderId="18" applyNumberFormat="0" applyAlignment="0" applyProtection="0"/>
    <xf numFmtId="165" fontId="29" fillId="22" borderId="18" applyNumberFormat="0" applyAlignment="0" applyProtection="0"/>
    <xf numFmtId="165" fontId="29" fillId="22" borderId="18" applyNumberFormat="0" applyAlignment="0" applyProtection="0"/>
    <xf numFmtId="165" fontId="30" fillId="0" borderId="0" applyNumberFormat="0" applyFill="0" applyBorder="0" applyAlignment="0" applyProtection="0"/>
    <xf numFmtId="165" fontId="30" fillId="0" borderId="0" applyNumberFormat="0" applyFill="0" applyBorder="0" applyAlignment="0" applyProtection="0"/>
    <xf numFmtId="165" fontId="30" fillId="0" borderId="0" applyNumberFormat="0" applyFill="0" applyBorder="0" applyAlignment="0" applyProtection="0"/>
    <xf numFmtId="165" fontId="30" fillId="0" borderId="0" applyNumberFormat="0" applyFill="0" applyBorder="0" applyAlignment="0" applyProtection="0"/>
    <xf numFmtId="165" fontId="30" fillId="0" borderId="0" applyNumberFormat="0" applyFill="0" applyBorder="0" applyAlignment="0" applyProtection="0"/>
    <xf numFmtId="165" fontId="31" fillId="23" borderId="0" applyNumberFormat="0" applyBorder="0" applyAlignment="0" applyProtection="0"/>
    <xf numFmtId="165" fontId="31" fillId="23" borderId="0" applyNumberFormat="0" applyBorder="0" applyAlignment="0" applyProtection="0"/>
    <xf numFmtId="165" fontId="31" fillId="23" borderId="0" applyNumberFormat="0" applyBorder="0" applyAlignment="0" applyProtection="0"/>
    <xf numFmtId="165" fontId="31" fillId="23" borderId="0" applyNumberFormat="0" applyBorder="0" applyAlignment="0" applyProtection="0"/>
    <xf numFmtId="165" fontId="31" fillId="23" borderId="0" applyNumberFormat="0" applyBorder="0" applyAlignment="0" applyProtection="0"/>
    <xf numFmtId="165" fontId="32" fillId="0" borderId="19" applyNumberFormat="0" applyFill="0" applyAlignment="0" applyProtection="0"/>
    <xf numFmtId="165" fontId="32" fillId="0" borderId="19" applyNumberFormat="0" applyFill="0" applyAlignment="0" applyProtection="0"/>
    <xf numFmtId="165" fontId="32" fillId="0" borderId="19" applyNumberFormat="0" applyFill="0" applyAlignment="0" applyProtection="0"/>
    <xf numFmtId="165" fontId="32" fillId="0" borderId="19" applyNumberFormat="0" applyFill="0" applyAlignment="0" applyProtection="0"/>
    <xf numFmtId="165" fontId="32" fillId="0" borderId="19" applyNumberFormat="0" applyFill="0" applyAlignment="0" applyProtection="0"/>
    <xf numFmtId="165" fontId="33" fillId="0" borderId="20" applyNumberFormat="0" applyFill="0" applyAlignment="0" applyProtection="0"/>
    <xf numFmtId="165" fontId="33" fillId="0" borderId="20" applyNumberFormat="0" applyFill="0" applyAlignment="0" applyProtection="0"/>
    <xf numFmtId="165" fontId="33" fillId="0" borderId="20" applyNumberFormat="0" applyFill="0" applyAlignment="0" applyProtection="0"/>
    <xf numFmtId="165" fontId="33" fillId="0" borderId="20" applyNumberFormat="0" applyFill="0" applyAlignment="0" applyProtection="0"/>
    <xf numFmtId="165" fontId="33" fillId="0" borderId="20" applyNumberFormat="0" applyFill="0" applyAlignment="0" applyProtection="0"/>
    <xf numFmtId="165" fontId="34" fillId="0" borderId="21" applyNumberFormat="0" applyFill="0" applyAlignment="0" applyProtection="0"/>
    <xf numFmtId="165" fontId="34" fillId="0" borderId="21" applyNumberFormat="0" applyFill="0" applyAlignment="0" applyProtection="0"/>
    <xf numFmtId="165" fontId="34" fillId="0" borderId="21" applyNumberFormat="0" applyFill="0" applyAlignment="0" applyProtection="0"/>
    <xf numFmtId="165" fontId="34" fillId="0" borderId="21" applyNumberFormat="0" applyFill="0" applyAlignment="0" applyProtection="0"/>
    <xf numFmtId="165" fontId="34" fillId="0" borderId="21" applyNumberFormat="0" applyFill="0" applyAlignment="0" applyProtection="0"/>
    <xf numFmtId="165" fontId="34" fillId="0" borderId="0" applyNumberFormat="0" applyFill="0" applyBorder="0" applyAlignment="0" applyProtection="0"/>
    <xf numFmtId="165" fontId="34" fillId="0" borderId="0" applyNumberFormat="0" applyFill="0" applyBorder="0" applyAlignment="0" applyProtection="0"/>
    <xf numFmtId="165" fontId="34" fillId="0" borderId="0" applyNumberFormat="0" applyFill="0" applyBorder="0" applyAlignment="0" applyProtection="0"/>
    <xf numFmtId="165" fontId="34" fillId="0" borderId="0" applyNumberFormat="0" applyFill="0" applyBorder="0" applyAlignment="0" applyProtection="0"/>
    <xf numFmtId="165" fontId="34" fillId="0" borderId="0" applyNumberFormat="0" applyFill="0" applyBorder="0" applyAlignment="0" applyProtection="0"/>
    <xf numFmtId="165" fontId="35" fillId="15" borderId="17" applyNumberFormat="0" applyAlignment="0" applyProtection="0"/>
    <xf numFmtId="165" fontId="35" fillId="15" borderId="17" applyNumberFormat="0" applyAlignment="0" applyProtection="0"/>
    <xf numFmtId="165" fontId="35" fillId="15" borderId="17" applyNumberFormat="0" applyAlignment="0" applyProtection="0"/>
    <xf numFmtId="165" fontId="35" fillId="15" borderId="17" applyNumberFormat="0" applyAlignment="0" applyProtection="0"/>
    <xf numFmtId="165" fontId="35" fillId="15" borderId="17" applyNumberFormat="0" applyAlignment="0" applyProtection="0"/>
    <xf numFmtId="165" fontId="36" fillId="0" borderId="22" applyNumberFormat="0" applyFill="0" applyAlignment="0" applyProtection="0"/>
    <xf numFmtId="165" fontId="36" fillId="0" borderId="22" applyNumberFormat="0" applyFill="0" applyAlignment="0" applyProtection="0"/>
    <xf numFmtId="165" fontId="36" fillId="0" borderId="22" applyNumberFormat="0" applyFill="0" applyAlignment="0" applyProtection="0"/>
    <xf numFmtId="165" fontId="36" fillId="0" borderId="22" applyNumberFormat="0" applyFill="0" applyAlignment="0" applyProtection="0"/>
    <xf numFmtId="165" fontId="36" fillId="0" borderId="22" applyNumberFormat="0" applyFill="0" applyAlignment="0" applyProtection="0"/>
    <xf numFmtId="165" fontId="37" fillId="15" borderId="0" applyNumberFormat="0" applyBorder="0" applyAlignment="0" applyProtection="0"/>
    <xf numFmtId="165" fontId="37" fillId="15" borderId="0" applyNumberFormat="0" applyBorder="0" applyAlignment="0" applyProtection="0"/>
    <xf numFmtId="165" fontId="37" fillId="15" borderId="0" applyNumberFormat="0" applyBorder="0" applyAlignment="0" applyProtection="0"/>
    <xf numFmtId="165" fontId="37" fillId="15" borderId="0" applyNumberFormat="0" applyBorder="0" applyAlignment="0" applyProtection="0"/>
    <xf numFmtId="165" fontId="37" fillId="15" borderId="0" applyNumberFormat="0" applyBorder="0" applyAlignment="0" applyProtection="0"/>
    <xf numFmtId="165" fontId="21" fillId="0" borderId="0"/>
    <xf numFmtId="165" fontId="20" fillId="0" borderId="0"/>
    <xf numFmtId="165" fontId="21" fillId="0" borderId="0"/>
    <xf numFmtId="165" fontId="11" fillId="0" borderId="0"/>
    <xf numFmtId="165" fontId="11" fillId="0" borderId="0"/>
    <xf numFmtId="165" fontId="11" fillId="12" borderId="23" applyNumberFormat="0" applyFont="0" applyAlignment="0" applyProtection="0"/>
    <xf numFmtId="165" fontId="11" fillId="12" borderId="23" applyNumberFormat="0" applyFont="0" applyAlignment="0" applyProtection="0"/>
    <xf numFmtId="165" fontId="11" fillId="12" borderId="23" applyNumberFormat="0" applyFont="0" applyAlignment="0" applyProtection="0"/>
    <xf numFmtId="165" fontId="11" fillId="12" borderId="23" applyNumberFormat="0" applyFont="0" applyAlignment="0" applyProtection="0"/>
    <xf numFmtId="165" fontId="11" fillId="12" borderId="23" applyNumberFormat="0" applyFont="0" applyAlignment="0" applyProtection="0"/>
    <xf numFmtId="165" fontId="38" fillId="10" borderId="24" applyNumberFormat="0" applyAlignment="0" applyProtection="0"/>
    <xf numFmtId="165" fontId="38" fillId="10" borderId="24" applyNumberFormat="0" applyAlignment="0" applyProtection="0"/>
    <xf numFmtId="165" fontId="38" fillId="10" borderId="24" applyNumberFormat="0" applyAlignment="0" applyProtection="0"/>
    <xf numFmtId="165" fontId="38" fillId="10" borderId="24" applyNumberFormat="0" applyAlignment="0" applyProtection="0"/>
    <xf numFmtId="165" fontId="38" fillId="10" borderId="24" applyNumberFormat="0" applyAlignment="0" applyProtection="0"/>
    <xf numFmtId="9" fontId="20" fillId="0" borderId="0" applyFont="0" applyFill="0" applyBorder="0" applyAlignment="0" applyProtection="0"/>
    <xf numFmtId="165" fontId="39" fillId="0" borderId="0" applyNumberFormat="0" applyFill="0" applyBorder="0" applyAlignment="0" applyProtection="0"/>
    <xf numFmtId="165" fontId="39" fillId="0" borderId="0" applyNumberFormat="0" applyFill="0" applyBorder="0" applyAlignment="0" applyProtection="0"/>
    <xf numFmtId="165" fontId="39" fillId="0" borderId="0" applyNumberFormat="0" applyFill="0" applyBorder="0" applyAlignment="0" applyProtection="0"/>
    <xf numFmtId="165" fontId="39" fillId="0" borderId="0" applyNumberFormat="0" applyFill="0" applyBorder="0" applyAlignment="0" applyProtection="0"/>
    <xf numFmtId="165" fontId="39" fillId="0" borderId="0" applyNumberFormat="0" applyFill="0" applyBorder="0" applyAlignment="0" applyProtection="0"/>
    <xf numFmtId="165" fontId="40" fillId="0" borderId="25" applyNumberFormat="0" applyFill="0" applyAlignment="0" applyProtection="0"/>
    <xf numFmtId="165" fontId="40" fillId="0" borderId="25" applyNumberFormat="0" applyFill="0" applyAlignment="0" applyProtection="0"/>
    <xf numFmtId="165" fontId="40" fillId="0" borderId="25" applyNumberFormat="0" applyFill="0" applyAlignment="0" applyProtection="0"/>
    <xf numFmtId="165" fontId="40" fillId="0" borderId="25" applyNumberFormat="0" applyFill="0" applyAlignment="0" applyProtection="0"/>
    <xf numFmtId="165" fontId="40" fillId="0" borderId="25" applyNumberFormat="0" applyFill="0" applyAlignment="0" applyProtection="0"/>
    <xf numFmtId="165" fontId="41" fillId="0" borderId="0" applyNumberFormat="0" applyFill="0" applyBorder="0" applyAlignment="0" applyProtection="0"/>
    <xf numFmtId="165" fontId="41" fillId="0" borderId="0" applyNumberFormat="0" applyFill="0" applyBorder="0" applyAlignment="0" applyProtection="0"/>
    <xf numFmtId="165" fontId="41" fillId="0" borderId="0" applyNumberFormat="0" applyFill="0" applyBorder="0" applyAlignment="0" applyProtection="0"/>
    <xf numFmtId="165" fontId="41" fillId="0" borderId="0" applyNumberFormat="0" applyFill="0" applyBorder="0" applyAlignment="0" applyProtection="0"/>
    <xf numFmtId="165" fontId="41" fillId="0" borderId="0" applyNumberFormat="0" applyFill="0" applyBorder="0" applyAlignment="0" applyProtection="0"/>
    <xf numFmtId="9" fontId="9" fillId="0" borderId="0" applyFont="0" applyFill="0" applyBorder="0" applyAlignment="0" applyProtection="0"/>
    <xf numFmtId="0" fontId="9" fillId="0" borderId="0"/>
    <xf numFmtId="0" fontId="11" fillId="25" borderId="0">
      <protection locked="0"/>
    </xf>
    <xf numFmtId="0" fontId="11" fillId="26" borderId="28">
      <alignment horizontal="center" vertical="center"/>
      <protection locked="0"/>
    </xf>
    <xf numFmtId="0" fontId="11" fillId="27" borderId="0">
      <protection locked="0"/>
    </xf>
    <xf numFmtId="0" fontId="49" fillId="26" borderId="0">
      <alignment vertical="center"/>
      <protection locked="0"/>
    </xf>
    <xf numFmtId="0" fontId="49" fillId="0" borderId="0">
      <protection locked="0"/>
    </xf>
    <xf numFmtId="0" fontId="50" fillId="0" borderId="0">
      <protection locked="0"/>
    </xf>
    <xf numFmtId="0" fontId="51" fillId="0" borderId="0"/>
    <xf numFmtId="9" fontId="51" fillId="0" borderId="0" applyFont="0" applyFill="0" applyBorder="0" applyAlignment="0" applyProtection="0"/>
    <xf numFmtId="9" fontId="51" fillId="0" borderId="0" applyFont="0" applyFill="0" applyBorder="0" applyAlignment="0" applyProtection="0"/>
    <xf numFmtId="0" fontId="11" fillId="26" borderId="29">
      <alignment vertical="center"/>
      <protection locked="0"/>
    </xf>
    <xf numFmtId="0" fontId="52" fillId="0" borderId="0">
      <protection locked="0"/>
    </xf>
    <xf numFmtId="43" fontId="9" fillId="0" borderId="0" applyFont="0" applyFill="0" applyBorder="0" applyAlignment="0" applyProtection="0"/>
    <xf numFmtId="0" fontId="86" fillId="0" borderId="0">
      <alignment vertical="center"/>
    </xf>
    <xf numFmtId="0" fontId="87" fillId="0" borderId="0">
      <alignment vertical="center"/>
    </xf>
    <xf numFmtId="0" fontId="88" fillId="0" borderId="0">
      <alignment vertical="center"/>
    </xf>
  </cellStyleXfs>
  <cellXfs count="537">
    <xf numFmtId="0" fontId="0" fillId="0" borderId="0" xfId="0"/>
    <xf numFmtId="0" fontId="2" fillId="0" borderId="0" xfId="0" applyFont="1" applyAlignment="1" applyProtection="1">
      <alignment horizontal="center" vertical="center"/>
      <protection hidden="1"/>
    </xf>
    <xf numFmtId="0" fontId="1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 fillId="0" borderId="0" xfId="0" applyFont="1" applyAlignment="1" applyProtection="1">
      <alignment vertical="center"/>
      <protection hidden="1"/>
    </xf>
    <xf numFmtId="0" fontId="0" fillId="0" borderId="0" xfId="0" applyAlignment="1" applyProtection="1">
      <alignment horizontal="left" vertical="center"/>
      <protection hidden="1"/>
    </xf>
    <xf numFmtId="0" fontId="0" fillId="0" borderId="0" xfId="0" applyProtection="1">
      <protection hidden="1"/>
    </xf>
    <xf numFmtId="0" fontId="23" fillId="0" borderId="0" xfId="0" applyFont="1" applyAlignment="1" applyProtection="1">
      <alignment horizontal="left" vertical="center" wrapText="1"/>
      <protection hidden="1"/>
    </xf>
    <xf numFmtId="0" fontId="4" fillId="7" borderId="0" xfId="0" applyFont="1" applyFill="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4" fillId="0" borderId="0" xfId="0" applyFont="1" applyAlignment="1" applyProtection="1">
      <alignment horizontal="center" vertical="center"/>
      <protection hidden="1"/>
    </xf>
    <xf numFmtId="0" fontId="1" fillId="0" borderId="0" xfId="0" applyFont="1" applyAlignment="1" applyProtection="1">
      <alignment vertical="center"/>
      <protection hidden="1"/>
    </xf>
    <xf numFmtId="0" fontId="3" fillId="0" borderId="0" xfId="0" applyFont="1" applyAlignment="1" applyProtection="1">
      <alignment vertical="center"/>
      <protection hidden="1"/>
    </xf>
    <xf numFmtId="0" fontId="45" fillId="4" borderId="14" xfId="2" applyFont="1" applyBorder="1" applyAlignment="1" applyProtection="1">
      <alignment horizontal="left" vertical="center" wrapText="1"/>
      <protection hidden="1"/>
    </xf>
    <xf numFmtId="0" fontId="24" fillId="0" borderId="0" xfId="0" applyFont="1" applyAlignment="1" applyProtection="1">
      <alignment horizontal="left" vertical="center" wrapText="1"/>
      <protection hidden="1"/>
    </xf>
    <xf numFmtId="0" fontId="1" fillId="0" borderId="0" xfId="0" applyFont="1" applyAlignment="1" applyProtection="1">
      <alignment horizontal="center" vertical="center"/>
      <protection hidden="1"/>
    </xf>
    <xf numFmtId="0" fontId="2" fillId="0" borderId="0" xfId="0" applyFont="1" applyAlignment="1" applyProtection="1">
      <alignment horizontal="left" vertical="center" wrapText="1"/>
      <protection hidden="1"/>
    </xf>
    <xf numFmtId="0" fontId="4" fillId="7" borderId="0" xfId="0" applyFont="1" applyFill="1" applyAlignment="1" applyProtection="1">
      <alignment horizontal="left" vertical="center" wrapText="1"/>
      <protection hidden="1"/>
    </xf>
    <xf numFmtId="0" fontId="22" fillId="0" borderId="0" xfId="0" applyFont="1" applyAlignment="1" applyProtection="1">
      <alignment horizontal="center" vertical="center"/>
      <protection hidden="1"/>
    </xf>
    <xf numFmtId="164" fontId="0" fillId="4" borderId="3" xfId="2" applyNumberFormat="1" applyFont="1" applyAlignment="1" applyProtection="1">
      <alignment horizontal="center" vertical="center"/>
      <protection hidden="1"/>
    </xf>
    <xf numFmtId="0" fontId="0" fillId="4" borderId="3" xfId="2" applyFont="1" applyAlignment="1" applyProtection="1">
      <alignment horizontal="center" vertical="center"/>
      <protection hidden="1"/>
    </xf>
    <xf numFmtId="0" fontId="0" fillId="3" borderId="6" xfId="0" applyFill="1" applyBorder="1" applyAlignment="1" applyProtection="1">
      <alignment horizontal="center" vertical="center"/>
      <protection locked="0" hidden="1"/>
    </xf>
    <xf numFmtId="0" fontId="22" fillId="3" borderId="0" xfId="0" applyFont="1" applyFill="1" applyAlignment="1" applyProtection="1">
      <alignment horizontal="center" vertical="center"/>
      <protection hidden="1"/>
    </xf>
    <xf numFmtId="0" fontId="12" fillId="7" borderId="0" xfId="0" applyFont="1" applyFill="1" applyAlignment="1" applyProtection="1">
      <alignment horizontal="center" vertical="center"/>
      <protection hidden="1"/>
    </xf>
    <xf numFmtId="0" fontId="0" fillId="0" borderId="0" xfId="0" applyAlignment="1" applyProtection="1">
      <alignment vertical="center"/>
      <protection hidden="1"/>
    </xf>
    <xf numFmtId="0" fontId="0" fillId="3" borderId="6" xfId="3" applyFont="1" applyFill="1" applyBorder="1" applyAlignment="1" applyProtection="1">
      <alignment horizontal="center" vertical="center"/>
      <protection locked="0" hidden="1"/>
    </xf>
    <xf numFmtId="164" fontId="9" fillId="4" borderId="3" xfId="2" applyNumberFormat="1" applyAlignment="1" applyProtection="1">
      <alignment horizontal="center" vertical="center"/>
      <protection hidden="1"/>
    </xf>
    <xf numFmtId="0" fontId="9" fillId="4" borderId="3" xfId="2" applyAlignment="1" applyProtection="1">
      <alignment horizontal="left" vertical="center" wrapText="1"/>
      <protection hidden="1"/>
    </xf>
    <xf numFmtId="0" fontId="9" fillId="4" borderId="3" xfId="2" applyAlignment="1" applyProtection="1">
      <alignment horizontal="center" vertical="center"/>
      <protection hidden="1"/>
    </xf>
    <xf numFmtId="0" fontId="0" fillId="3" borderId="7" xfId="3" applyFont="1" applyFill="1" applyBorder="1" applyAlignment="1" applyProtection="1">
      <alignment horizontal="center" vertical="center"/>
      <protection locked="0" hidden="1"/>
    </xf>
    <xf numFmtId="0" fontId="0" fillId="3" borderId="4" xfId="5" applyFont="1" applyFill="1" applyBorder="1" applyAlignment="1" applyProtection="1">
      <alignment horizontal="center" vertical="center"/>
      <protection locked="0" hidden="1"/>
    </xf>
    <xf numFmtId="0" fontId="0" fillId="4" borderId="3" xfId="2" applyFont="1" applyAlignment="1" applyProtection="1">
      <alignment horizontal="left" vertical="top" wrapText="1"/>
      <protection hidden="1"/>
    </xf>
    <xf numFmtId="0" fontId="4" fillId="7" borderId="0" xfId="4" applyProtection="1">
      <alignment horizontal="center" vertical="center" wrapText="1"/>
      <protection hidden="1"/>
    </xf>
    <xf numFmtId="0" fontId="4" fillId="0" borderId="0" xfId="4" applyFill="1" applyProtection="1">
      <alignment horizontal="center" vertical="center" wrapText="1"/>
      <protection hidden="1"/>
    </xf>
    <xf numFmtId="0" fontId="0" fillId="0" borderId="0" xfId="0" applyAlignment="1" applyProtection="1">
      <alignment horizontal="left" vertical="center" wrapText="1"/>
      <protection hidden="1"/>
    </xf>
    <xf numFmtId="0" fontId="0" fillId="3" borderId="0" xfId="0" applyFill="1" applyAlignment="1" applyProtection="1">
      <alignment horizontal="left" vertical="center" wrapText="1"/>
      <protection hidden="1"/>
    </xf>
    <xf numFmtId="164" fontId="18" fillId="0" borderId="0" xfId="0" applyNumberFormat="1" applyFont="1" applyAlignment="1" applyProtection="1">
      <alignment horizontal="center" vertical="center"/>
      <protection hidden="1"/>
    </xf>
    <xf numFmtId="0" fontId="10" fillId="0" borderId="0" xfId="0" applyFont="1" applyAlignment="1" applyProtection="1">
      <alignment horizontal="left" vertical="center"/>
      <protection hidden="1"/>
    </xf>
    <xf numFmtId="0" fontId="10" fillId="0" borderId="0" xfId="0" applyFont="1" applyAlignment="1" applyProtection="1">
      <alignment horizontal="center" vertical="center"/>
      <protection hidden="1"/>
    </xf>
    <xf numFmtId="0" fontId="0" fillId="3" borderId="0" xfId="0" applyFill="1" applyAlignment="1" applyProtection="1">
      <alignment horizontal="center" vertical="center"/>
      <protection hidden="1"/>
    </xf>
    <xf numFmtId="0" fontId="4" fillId="0" borderId="0" xfId="0" applyFont="1" applyAlignment="1" applyProtection="1">
      <alignment horizontal="left" vertical="center" wrapText="1"/>
      <protection hidden="1"/>
    </xf>
    <xf numFmtId="0" fontId="5" fillId="0" borderId="0" xfId="0" applyFont="1" applyAlignment="1" applyProtection="1">
      <alignment horizontal="left" vertical="center" wrapText="1"/>
      <protection hidden="1"/>
    </xf>
    <xf numFmtId="0" fontId="0" fillId="4" borderId="3" xfId="2" applyFont="1" applyAlignment="1" applyProtection="1">
      <alignment horizontal="left" vertical="center"/>
      <protection hidden="1"/>
    </xf>
    <xf numFmtId="0" fontId="0" fillId="4" borderId="26" xfId="2" applyFont="1" applyBorder="1" applyAlignment="1" applyProtection="1">
      <alignment horizontal="center" vertical="center"/>
      <protection hidden="1"/>
    </xf>
    <xf numFmtId="0" fontId="0" fillId="3" borderId="2" xfId="0" applyFill="1" applyBorder="1" applyAlignment="1" applyProtection="1">
      <alignment horizontal="center" vertical="center"/>
      <protection locked="0" hidden="1"/>
    </xf>
    <xf numFmtId="0" fontId="2" fillId="0" borderId="0" xfId="0" applyFont="1" applyAlignment="1" applyProtection="1">
      <alignment horizontal="left" vertical="center"/>
      <protection hidden="1"/>
    </xf>
    <xf numFmtId="0" fontId="17" fillId="0" borderId="0" xfId="0" applyFont="1" applyAlignment="1" applyProtection="1">
      <alignment vertical="center"/>
      <protection hidden="1"/>
    </xf>
    <xf numFmtId="0" fontId="22" fillId="0" borderId="0" xfId="0" applyFont="1" applyAlignment="1" applyProtection="1">
      <alignment horizontal="center" vertical="center" wrapText="1"/>
      <protection hidden="1"/>
    </xf>
    <xf numFmtId="0" fontId="7" fillId="0" borderId="0" xfId="0" applyFont="1" applyAlignment="1" applyProtection="1">
      <alignment vertical="center"/>
      <protection hidden="1"/>
    </xf>
    <xf numFmtId="0" fontId="13" fillId="9" borderId="10" xfId="5" applyBorder="1" applyAlignment="1" applyProtection="1">
      <alignment horizontal="center" vertical="center"/>
      <protection locked="0" hidden="1"/>
    </xf>
    <xf numFmtId="0" fontId="22" fillId="0" borderId="13" xfId="0" applyFont="1" applyBorder="1" applyAlignment="1" applyProtection="1">
      <alignment horizontal="center" vertical="center"/>
      <protection hidden="1"/>
    </xf>
    <xf numFmtId="0" fontId="13" fillId="9" borderId="8" xfId="5" applyBorder="1" applyAlignment="1" applyProtection="1">
      <alignment horizontal="center" vertical="center"/>
      <protection locked="0" hidden="1"/>
    </xf>
    <xf numFmtId="0" fontId="9" fillId="3" borderId="8" xfId="5" applyFont="1" applyFill="1" applyBorder="1" applyAlignment="1" applyProtection="1">
      <alignment horizontal="center" vertical="center"/>
      <protection locked="0" hidden="1"/>
    </xf>
    <xf numFmtId="0" fontId="13" fillId="9" borderId="12" xfId="5" applyBorder="1" applyAlignment="1" applyProtection="1">
      <alignment horizontal="center" vertical="center"/>
      <protection locked="0" hidden="1"/>
    </xf>
    <xf numFmtId="0" fontId="22" fillId="0" borderId="0" xfId="0" applyFont="1" applyProtection="1">
      <protection hidden="1"/>
    </xf>
    <xf numFmtId="0" fontId="13" fillId="9" borderId="5" xfId="5" applyBorder="1" applyAlignment="1" applyProtection="1">
      <alignment horizontal="center" vertical="center"/>
      <protection hidden="1"/>
    </xf>
    <xf numFmtId="0" fontId="13" fillId="9" borderId="3" xfId="5" applyAlignment="1" applyProtection="1">
      <alignment horizontal="center" vertical="center"/>
      <protection hidden="1"/>
    </xf>
    <xf numFmtId="0" fontId="13" fillId="9" borderId="3" xfId="5" applyAlignment="1" applyProtection="1">
      <alignment horizontal="left" vertical="center"/>
      <protection hidden="1"/>
    </xf>
    <xf numFmtId="0" fontId="13" fillId="9" borderId="9" xfId="5" applyBorder="1" applyAlignment="1" applyProtection="1">
      <alignment horizontal="center" vertical="center"/>
      <protection hidden="1"/>
    </xf>
    <xf numFmtId="0" fontId="13" fillId="9" borderId="3" xfId="5" applyAlignment="1" applyProtection="1">
      <alignment horizontal="center" vertical="center"/>
      <protection locked="0" hidden="1"/>
    </xf>
    <xf numFmtId="0" fontId="9" fillId="3" borderId="4" xfId="5" applyFont="1" applyFill="1" applyBorder="1" applyAlignment="1" applyProtection="1">
      <alignment horizontal="center" vertical="center"/>
      <protection locked="0" hidden="1"/>
    </xf>
    <xf numFmtId="0" fontId="9" fillId="3" borderId="10" xfId="5" applyFont="1" applyFill="1" applyBorder="1" applyAlignment="1" applyProtection="1">
      <alignment horizontal="center" vertical="center"/>
      <protection locked="0" hidden="1"/>
    </xf>
    <xf numFmtId="0" fontId="9" fillId="4" borderId="3" xfId="2" applyAlignment="1" applyProtection="1">
      <alignment horizontal="left" vertical="center"/>
      <protection hidden="1"/>
    </xf>
    <xf numFmtId="0" fontId="9" fillId="3" borderId="12" xfId="5" applyFont="1" applyFill="1" applyBorder="1" applyAlignment="1" applyProtection="1">
      <alignment horizontal="center" vertical="center"/>
      <protection locked="0" hidden="1"/>
    </xf>
    <xf numFmtId="0" fontId="5" fillId="2" borderId="0" xfId="0" applyFont="1" applyFill="1" applyAlignment="1" applyProtection="1">
      <alignment horizontal="center" vertical="center" wrapText="1"/>
      <protection hidden="1"/>
    </xf>
    <xf numFmtId="0" fontId="0" fillId="0" borderId="0" xfId="0" applyAlignment="1" applyProtection="1">
      <alignment wrapText="1"/>
      <protection hidden="1"/>
    </xf>
    <xf numFmtId="0" fontId="9" fillId="6" borderId="3" xfId="5" applyFont="1" applyFill="1" applyAlignment="1" applyProtection="1">
      <alignment horizontal="center" vertical="center"/>
      <protection hidden="1"/>
    </xf>
    <xf numFmtId="0" fontId="9" fillId="24" borderId="3" xfId="5" applyFont="1" applyFill="1" applyAlignment="1" applyProtection="1">
      <alignment horizontal="center" vertical="center"/>
      <protection hidden="1"/>
    </xf>
    <xf numFmtId="0" fontId="9" fillId="24" borderId="3" xfId="5" applyFont="1" applyFill="1" applyAlignment="1" applyProtection="1">
      <alignment horizontal="left" vertical="center"/>
      <protection hidden="1"/>
    </xf>
    <xf numFmtId="0" fontId="4" fillId="7" borderId="0" xfId="4" applyAlignment="1" applyProtection="1">
      <alignment horizontal="left" vertical="center" wrapText="1"/>
      <protection hidden="1"/>
    </xf>
    <xf numFmtId="9" fontId="10" fillId="0" borderId="0" xfId="220" applyFont="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4" fillId="0" borderId="0" xfId="4" applyFill="1" applyAlignment="1" applyProtection="1">
      <alignment horizontal="left" vertical="center" wrapText="1"/>
      <protection hidden="1"/>
    </xf>
    <xf numFmtId="0" fontId="18" fillId="7" borderId="0" xfId="0" applyFont="1" applyFill="1" applyAlignment="1" applyProtection="1">
      <alignment horizontal="center" vertical="center"/>
      <protection hidden="1"/>
    </xf>
    <xf numFmtId="0" fontId="16" fillId="7" borderId="0" xfId="0" applyFont="1" applyFill="1" applyAlignment="1" applyProtection="1">
      <alignment horizontal="center" vertical="center"/>
      <protection hidden="1"/>
    </xf>
    <xf numFmtId="0" fontId="16" fillId="24" borderId="0" xfId="0" applyFont="1" applyFill="1" applyAlignment="1" applyProtection="1">
      <alignment horizontal="center" vertical="center"/>
      <protection hidden="1"/>
    </xf>
    <xf numFmtId="164" fontId="16" fillId="24" borderId="0" xfId="0" applyNumberFormat="1" applyFont="1" applyFill="1" applyAlignment="1" applyProtection="1">
      <alignment horizontal="center" vertical="center"/>
      <protection hidden="1"/>
    </xf>
    <xf numFmtId="0" fontId="14" fillId="24" borderId="0" xfId="220" applyNumberFormat="1" applyFont="1" applyFill="1" applyAlignment="1" applyProtection="1">
      <alignment horizontal="center" vertical="center"/>
      <protection hidden="1"/>
    </xf>
    <xf numFmtId="164" fontId="14" fillId="24" borderId="0" xfId="220" applyNumberFormat="1" applyFont="1" applyFill="1" applyAlignment="1" applyProtection="1">
      <alignment horizontal="center" vertical="center"/>
      <protection hidden="1"/>
    </xf>
    <xf numFmtId="0" fontId="9" fillId="4" borderId="3" xfId="2" applyAlignment="1" applyProtection="1">
      <alignment horizontal="center" vertical="center" wrapText="1"/>
      <protection hidden="1"/>
    </xf>
    <xf numFmtId="0" fontId="0" fillId="24" borderId="3" xfId="2" applyFont="1" applyFill="1" applyAlignment="1" applyProtection="1">
      <alignment horizontal="left" vertical="center" wrapText="1"/>
      <protection hidden="1"/>
    </xf>
    <xf numFmtId="0" fontId="9" fillId="24" borderId="3" xfId="2" applyFill="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2" fillId="0" borderId="0" xfId="0" applyFont="1" applyAlignment="1" applyProtection="1">
      <alignment horizontal="right" vertical="center"/>
      <protection hidden="1"/>
    </xf>
    <xf numFmtId="0" fontId="13" fillId="9" borderId="3" xfId="5" applyProtection="1">
      <alignment vertical="center"/>
      <protection hidden="1"/>
    </xf>
    <xf numFmtId="0" fontId="0" fillId="0" borderId="0" xfId="0" applyAlignment="1" applyProtection="1">
      <alignment vertical="center"/>
      <protection locked="0" hidden="1"/>
    </xf>
    <xf numFmtId="164" fontId="16" fillId="24" borderId="0" xfId="220" applyNumberFormat="1" applyFont="1" applyFill="1" applyAlignment="1">
      <alignment horizontal="center" vertical="center"/>
    </xf>
    <xf numFmtId="0" fontId="0" fillId="0" borderId="0" xfId="0" applyProtection="1">
      <protection locked="0" hidden="1"/>
    </xf>
    <xf numFmtId="0" fontId="4" fillId="7" borderId="0" xfId="0" applyFont="1" applyFill="1" applyAlignment="1" applyProtection="1">
      <alignment horizontal="left" vertical="center" wrapText="1"/>
      <protection locked="0" hidden="1"/>
    </xf>
    <xf numFmtId="0" fontId="0" fillId="0" borderId="0" xfId="0" applyAlignment="1" applyProtection="1">
      <alignment horizontal="left" vertical="center"/>
      <protection locked="0" hidden="1"/>
    </xf>
    <xf numFmtId="0" fontId="4" fillId="7" borderId="0" xfId="4" applyAlignment="1" applyProtection="1">
      <alignment horizontal="left" vertical="center" wrapText="1"/>
      <protection locked="0" hidden="1"/>
    </xf>
    <xf numFmtId="0" fontId="4" fillId="2" borderId="0" xfId="0" applyFont="1" applyFill="1" applyAlignment="1" applyProtection="1">
      <alignment vertical="center" wrapText="1"/>
      <protection hidden="1"/>
    </xf>
    <xf numFmtId="0" fontId="0" fillId="0" borderId="0" xfId="0" applyAlignment="1" applyProtection="1">
      <alignment horizontal="center"/>
      <protection hidden="1"/>
    </xf>
    <xf numFmtId="0" fontId="0" fillId="24" borderId="3" xfId="5" applyFont="1" applyFill="1" applyAlignment="1" applyProtection="1">
      <alignment horizontal="center" vertical="center"/>
      <protection hidden="1"/>
    </xf>
    <xf numFmtId="0" fontId="0" fillId="6" borderId="3" xfId="5" applyFont="1" applyFill="1" applyAlignment="1" applyProtection="1">
      <alignment horizontal="center" vertical="center"/>
      <protection hidden="1"/>
    </xf>
    <xf numFmtId="0" fontId="58" fillId="0" borderId="0" xfId="0" applyFont="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4" fillId="2" borderId="0" xfId="0" applyFont="1" applyFill="1" applyAlignment="1" applyProtection="1">
      <alignment horizontal="center" vertical="center" wrapText="1"/>
      <protection hidden="1"/>
    </xf>
    <xf numFmtId="0" fontId="0" fillId="24" borderId="3" xfId="5" applyFont="1" applyFill="1" applyAlignment="1" applyProtection="1">
      <alignment horizontal="left" vertical="center"/>
      <protection hidden="1"/>
    </xf>
    <xf numFmtId="0" fontId="0" fillId="6" borderId="3" xfId="5" applyFont="1" applyFill="1" applyAlignment="1" applyProtection="1">
      <alignment horizontal="left" vertical="center"/>
      <protection hidden="1"/>
    </xf>
    <xf numFmtId="164" fontId="14" fillId="24" borderId="0" xfId="0" applyNumberFormat="1" applyFont="1" applyFill="1" applyAlignment="1" applyProtection="1">
      <alignment horizontal="center" vertical="center"/>
      <protection hidden="1"/>
    </xf>
    <xf numFmtId="0" fontId="4" fillId="0" borderId="0" xfId="0" applyFont="1" applyAlignment="1" applyProtection="1">
      <alignment vertical="center" wrapText="1"/>
      <protection hidden="1"/>
    </xf>
    <xf numFmtId="0" fontId="2" fillId="0" borderId="0" xfId="0" applyFont="1" applyAlignment="1" applyProtection="1">
      <alignment horizontal="center" vertical="center" wrapText="1"/>
      <protection locked="0" hidden="1"/>
    </xf>
    <xf numFmtId="0" fontId="14" fillId="0" borderId="0" xfId="0" applyFont="1" applyAlignment="1" applyProtection="1">
      <alignment horizontal="center" vertical="center" wrapText="1"/>
      <protection locked="0" hidden="1"/>
    </xf>
    <xf numFmtId="0" fontId="1" fillId="0" borderId="0" xfId="0" applyFont="1" applyAlignment="1" applyProtection="1">
      <alignment horizontal="center" vertical="center" wrapText="1"/>
      <protection locked="0" hidden="1"/>
    </xf>
    <xf numFmtId="0" fontId="4" fillId="7" borderId="0" xfId="0" applyFont="1" applyFill="1" applyAlignment="1" applyProtection="1">
      <alignment horizontal="center" vertical="center" wrapText="1"/>
      <protection locked="0" hidden="1"/>
    </xf>
    <xf numFmtId="0" fontId="0" fillId="0" borderId="0" xfId="0" applyAlignment="1" applyProtection="1">
      <alignment horizontal="center" vertical="center" wrapText="1"/>
      <protection locked="0" hidden="1"/>
    </xf>
    <xf numFmtId="0" fontId="58" fillId="0" borderId="0" xfId="0" applyFont="1" applyAlignment="1" applyProtection="1">
      <alignment horizontal="center" vertical="center"/>
      <protection locked="0" hidden="1"/>
    </xf>
    <xf numFmtId="0" fontId="4" fillId="0" borderId="0" xfId="4" applyFill="1" applyAlignment="1" applyProtection="1">
      <alignment horizontal="left" vertical="center" wrapText="1"/>
      <protection locked="0" hidden="1"/>
    </xf>
    <xf numFmtId="0" fontId="4" fillId="2" borderId="0" xfId="0" applyFont="1" applyFill="1" applyAlignment="1" applyProtection="1">
      <alignment horizontal="left" vertical="center" wrapText="1"/>
      <protection locked="0" hidden="1"/>
    </xf>
    <xf numFmtId="0" fontId="5" fillId="2" borderId="0" xfId="0" applyFont="1" applyFill="1" applyAlignment="1" applyProtection="1">
      <alignment horizontal="left" vertical="center" wrapText="1"/>
      <protection locked="0" hidden="1"/>
    </xf>
    <xf numFmtId="0" fontId="0" fillId="24" borderId="3" xfId="5" applyFont="1" applyFill="1" applyAlignment="1" applyProtection="1">
      <alignment horizontal="left" vertical="center" wrapText="1"/>
      <protection hidden="1"/>
    </xf>
    <xf numFmtId="0" fontId="0" fillId="4" borderId="4" xfId="2" applyFont="1" applyBorder="1" applyAlignment="1" applyProtection="1">
      <alignment horizontal="left" vertical="center" wrapText="1"/>
      <protection locked="0" hidden="1"/>
    </xf>
    <xf numFmtId="0" fontId="0" fillId="0" borderId="0" xfId="0" applyAlignment="1" applyProtection="1">
      <alignment horizontal="left" vertical="center" wrapText="1"/>
      <protection locked="0" hidden="1"/>
    </xf>
    <xf numFmtId="0" fontId="2" fillId="0" borderId="0" xfId="0" applyFont="1" applyAlignment="1" applyProtection="1">
      <alignment horizontal="left" vertical="center" wrapText="1"/>
      <protection locked="0" hidden="1"/>
    </xf>
    <xf numFmtId="0" fontId="0" fillId="4" borderId="3" xfId="2" applyFont="1" applyAlignment="1" applyProtection="1">
      <alignment horizontal="center" vertical="center" wrapText="1"/>
      <protection hidden="1"/>
    </xf>
    <xf numFmtId="0" fontId="17" fillId="0" borderId="0" xfId="0" applyFont="1" applyAlignment="1" applyProtection="1">
      <alignment horizontal="center" vertical="center"/>
      <protection locked="0"/>
    </xf>
    <xf numFmtId="0" fontId="2" fillId="0" borderId="0" xfId="0" applyFont="1" applyAlignment="1" applyProtection="1">
      <alignment vertical="center"/>
      <protection locked="0"/>
    </xf>
    <xf numFmtId="0" fontId="19" fillId="0" borderId="0" xfId="0" applyFont="1" applyAlignment="1" applyProtection="1">
      <alignment horizontal="center" vertical="center"/>
      <protection locked="0"/>
    </xf>
    <xf numFmtId="0" fontId="3" fillId="0" borderId="0" xfId="0" applyFont="1" applyAlignment="1" applyProtection="1">
      <alignment vertical="center"/>
      <protection locked="0"/>
    </xf>
    <xf numFmtId="0" fontId="4" fillId="7" borderId="0" xfId="0" applyFont="1" applyFill="1" applyAlignment="1" applyProtection="1">
      <alignment horizontal="left" vertical="center" wrapText="1"/>
      <protection locked="0"/>
    </xf>
    <xf numFmtId="0" fontId="4" fillId="7" borderId="0" xfId="0" applyFont="1" applyFill="1" applyAlignment="1" applyProtection="1">
      <alignment horizontal="center" vertical="center" wrapText="1"/>
      <protection locked="0"/>
    </xf>
    <xf numFmtId="0" fontId="22" fillId="3" borderId="4" xfId="0" applyFont="1" applyFill="1" applyBorder="1" applyAlignment="1" applyProtection="1">
      <alignment horizontal="center" vertical="center"/>
      <protection locked="0"/>
    </xf>
    <xf numFmtId="0" fontId="2" fillId="0" borderId="4" xfId="0" applyFont="1" applyBorder="1" applyAlignment="1" applyProtection="1">
      <alignment vertical="center"/>
      <protection locked="0"/>
    </xf>
    <xf numFmtId="0" fontId="22" fillId="3" borderId="0" xfId="0" applyFont="1" applyFill="1" applyAlignment="1" applyProtection="1">
      <alignment horizontal="center" vertical="center"/>
      <protection locked="0"/>
    </xf>
    <xf numFmtId="0" fontId="22" fillId="0" borderId="0" xfId="0" applyFont="1" applyAlignment="1" applyProtection="1">
      <alignment horizontal="center" vertical="center"/>
      <protection locked="0"/>
    </xf>
    <xf numFmtId="0" fontId="17" fillId="0" borderId="0" xfId="0" applyFont="1" applyAlignment="1" applyProtection="1">
      <alignment vertical="center"/>
      <protection locked="0"/>
    </xf>
    <xf numFmtId="0" fontId="22" fillId="0" borderId="0" xfId="0" applyFont="1" applyProtection="1">
      <protection locked="0"/>
    </xf>
    <xf numFmtId="0" fontId="0" fillId="0" borderId="0" xfId="0" applyProtection="1">
      <protection locked="0"/>
    </xf>
    <xf numFmtId="0" fontId="7" fillId="0" borderId="0" xfId="0" applyFont="1" applyAlignment="1" applyProtection="1">
      <alignment vertical="center"/>
      <protection locked="0"/>
    </xf>
    <xf numFmtId="9" fontId="10" fillId="0" borderId="0" xfId="220" applyFont="1" applyAlignment="1" applyProtection="1">
      <alignment horizontal="center" vertical="center" wrapText="1"/>
      <protection locked="0"/>
    </xf>
    <xf numFmtId="0" fontId="10" fillId="0" borderId="0" xfId="0" applyFont="1" applyAlignment="1" applyProtection="1">
      <alignment horizontal="center" vertical="center" wrapText="1"/>
      <protection locked="0"/>
    </xf>
    <xf numFmtId="0" fontId="56" fillId="0" borderId="0" xfId="0" applyFont="1" applyAlignment="1" applyProtection="1">
      <alignment horizontal="center" vertical="center"/>
      <protection hidden="1"/>
    </xf>
    <xf numFmtId="1" fontId="56" fillId="0" borderId="0" xfId="0" applyNumberFormat="1" applyFont="1" applyAlignment="1" applyProtection="1">
      <alignment horizontal="center" vertical="center"/>
      <protection hidden="1"/>
    </xf>
    <xf numFmtId="0" fontId="0" fillId="0" borderId="0" xfId="0" applyAlignment="1" applyProtection="1">
      <alignment horizontal="left" vertical="center"/>
      <protection locked="0"/>
    </xf>
    <xf numFmtId="0" fontId="3"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4" fillId="0" borderId="0" xfId="4" applyFill="1" applyAlignment="1">
      <alignment horizontal="left" vertical="center" wrapText="1"/>
      <protection locked="0"/>
    </xf>
    <xf numFmtId="0" fontId="4" fillId="2" borderId="0" xfId="0" applyFont="1" applyFill="1" applyAlignment="1" applyProtection="1">
      <alignment horizontal="left" vertical="center" wrapText="1"/>
      <protection locked="0"/>
    </xf>
    <xf numFmtId="0" fontId="0" fillId="3" borderId="0" xfId="0" applyFill="1" applyAlignment="1" applyProtection="1">
      <alignment horizontal="left" vertical="center"/>
      <protection locked="0"/>
    </xf>
    <xf numFmtId="0" fontId="4" fillId="2" borderId="0" xfId="0" applyFont="1" applyFill="1" applyAlignment="1" applyProtection="1">
      <alignment vertical="center" wrapText="1"/>
      <protection locked="0"/>
    </xf>
    <xf numFmtId="0" fontId="2" fillId="3" borderId="0" xfId="0" applyFont="1" applyFill="1" applyAlignment="1" applyProtection="1">
      <alignment horizontal="left" vertical="center"/>
      <protection locked="0"/>
    </xf>
    <xf numFmtId="0" fontId="5" fillId="2" borderId="0" xfId="0" applyFont="1" applyFill="1" applyAlignment="1" applyProtection="1">
      <alignment horizontal="left" vertical="center" wrapText="1"/>
      <protection locked="0"/>
    </xf>
    <xf numFmtId="0" fontId="7" fillId="0" borderId="0" xfId="0" applyFont="1" applyAlignment="1" applyProtection="1">
      <alignment horizontal="left" vertical="center"/>
      <protection locked="0"/>
    </xf>
    <xf numFmtId="0" fontId="6" fillId="0" borderId="0" xfId="0" applyFont="1" applyAlignment="1" applyProtection="1">
      <alignment horizontal="left" vertical="center"/>
      <protection locked="0"/>
    </xf>
    <xf numFmtId="0" fontId="3" fillId="0" borderId="0" xfId="0" applyFont="1" applyAlignment="1" applyProtection="1">
      <alignment vertical="center"/>
      <protection locked="0" hidden="1"/>
    </xf>
    <xf numFmtId="0" fontId="2" fillId="0" borderId="0" xfId="0" applyFont="1" applyAlignment="1" applyProtection="1">
      <alignment vertical="center"/>
      <protection locked="0" hidden="1"/>
    </xf>
    <xf numFmtId="0" fontId="4" fillId="0" borderId="0" xfId="4" applyFill="1">
      <alignment horizontal="center" vertical="center" wrapText="1"/>
      <protection locked="0"/>
    </xf>
    <xf numFmtId="0" fontId="4" fillId="2" borderId="0" xfId="0" applyFont="1" applyFill="1" applyAlignment="1" applyProtection="1">
      <alignment horizontal="center" vertical="center" wrapText="1"/>
      <protection locked="0"/>
    </xf>
    <xf numFmtId="0" fontId="0" fillId="0" borderId="0" xfId="0" applyAlignment="1" applyProtection="1">
      <alignment horizontal="center" vertical="center"/>
      <protection locked="0"/>
    </xf>
    <xf numFmtId="0" fontId="5" fillId="2" borderId="0" xfId="0" applyFont="1" applyFill="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0" xfId="0" applyAlignment="1" applyProtection="1">
      <alignment horizontal="center"/>
      <protection locked="0"/>
    </xf>
    <xf numFmtId="0" fontId="2" fillId="0" borderId="0" xfId="0" applyFont="1" applyAlignment="1">
      <alignment horizontal="center" vertical="center"/>
    </xf>
    <xf numFmtId="0" fontId="62" fillId="0" borderId="0" xfId="0" applyFont="1" applyAlignment="1">
      <alignment horizontal="center" vertical="center"/>
    </xf>
    <xf numFmtId="0" fontId="4" fillId="7" borderId="0" xfId="0" applyFont="1" applyFill="1" applyAlignment="1">
      <alignment horizontal="center" vertical="center" wrapText="1"/>
    </xf>
    <xf numFmtId="0" fontId="12" fillId="7" borderId="0" xfId="0" applyFont="1" applyFill="1" applyAlignment="1">
      <alignment horizontal="center" vertical="center" wrapText="1"/>
    </xf>
    <xf numFmtId="0" fontId="14" fillId="0" borderId="0" xfId="0" applyFont="1" applyAlignment="1" applyProtection="1">
      <alignment vertical="center"/>
      <protection locked="0" hidden="1"/>
    </xf>
    <xf numFmtId="0" fontId="12" fillId="7" borderId="0" xfId="0" applyFont="1" applyFill="1" applyAlignment="1">
      <alignment horizontal="left" vertical="center" wrapText="1"/>
    </xf>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3" borderId="0" xfId="0" applyFill="1" applyAlignment="1" applyProtection="1">
      <alignment horizontal="center" vertical="center" wrapText="1"/>
      <protection locked="0"/>
    </xf>
    <xf numFmtId="0" fontId="0" fillId="3" borderId="0" xfId="0" applyFill="1" applyAlignment="1" applyProtection="1">
      <alignment horizontal="left" vertical="center" wrapText="1"/>
      <protection locked="0"/>
    </xf>
    <xf numFmtId="0" fontId="2" fillId="3" borderId="0" xfId="0" applyFont="1" applyFill="1" applyAlignment="1" applyProtection="1">
      <alignment horizontal="center" vertical="center" wrapText="1"/>
      <protection locked="0"/>
    </xf>
    <xf numFmtId="0" fontId="2" fillId="3" borderId="0" xfId="0" applyFont="1" applyFill="1" applyAlignment="1" applyProtection="1">
      <alignment horizontal="left" vertical="center" wrapText="1"/>
      <protection locked="0"/>
    </xf>
    <xf numFmtId="0" fontId="0" fillId="4" borderId="3" xfId="2" applyFont="1" applyAlignment="1" applyProtection="1">
      <alignment vertical="center" wrapText="1"/>
      <protection hidden="1"/>
    </xf>
    <xf numFmtId="0" fontId="4" fillId="2" borderId="0" xfId="0" applyFont="1" applyFill="1" applyAlignment="1" applyProtection="1">
      <alignment horizontal="left" vertical="center" wrapText="1"/>
      <protection hidden="1"/>
    </xf>
    <xf numFmtId="0" fontId="0" fillId="4" borderId="3" xfId="2" applyFont="1" applyAlignment="1" applyProtection="1">
      <alignment horizontal="left" vertical="center" wrapText="1"/>
      <protection hidden="1"/>
    </xf>
    <xf numFmtId="0" fontId="4" fillId="0" borderId="0" xfId="0" applyFont="1" applyAlignment="1" applyProtection="1">
      <alignment horizontal="center" vertical="center" wrapText="1"/>
      <protection locked="0"/>
    </xf>
    <xf numFmtId="0" fontId="0" fillId="4" borderId="26" xfId="2" applyFont="1" applyBorder="1" applyAlignment="1" applyProtection="1">
      <alignment horizontal="center" vertical="center" wrapText="1"/>
      <protection hidden="1"/>
    </xf>
    <xf numFmtId="0" fontId="0" fillId="24" borderId="3" xfId="5" applyFont="1" applyFill="1" applyAlignment="1" applyProtection="1">
      <alignment horizontal="center" vertical="center" wrapText="1"/>
      <protection hidden="1"/>
    </xf>
    <xf numFmtId="164" fontId="9" fillId="4" borderId="3" xfId="2" applyNumberFormat="1" applyAlignment="1" applyProtection="1">
      <alignment horizontal="center" vertical="center" wrapText="1"/>
      <protection hidden="1"/>
    </xf>
    <xf numFmtId="0" fontId="0" fillId="7" borderId="0" xfId="0" applyFill="1" applyAlignment="1" applyProtection="1">
      <alignment horizontal="center" vertical="center"/>
      <protection hidden="1"/>
    </xf>
    <xf numFmtId="0" fontId="19" fillId="3" borderId="0" xfId="0" applyFont="1" applyFill="1" applyAlignment="1" applyProtection="1">
      <alignment horizontal="center" vertical="center"/>
      <protection hidden="1"/>
    </xf>
    <xf numFmtId="0" fontId="2" fillId="3" borderId="0" xfId="0" applyFont="1" applyFill="1" applyAlignment="1" applyProtection="1">
      <alignment horizontal="center" vertical="center" wrapText="1"/>
      <protection locked="0" hidden="1"/>
    </xf>
    <xf numFmtId="0" fontId="0" fillId="3" borderId="0" xfId="0" applyFill="1" applyAlignment="1" applyProtection="1">
      <alignment horizontal="center" vertical="center" wrapText="1"/>
      <protection locked="0" hidden="1"/>
    </xf>
    <xf numFmtId="0" fontId="58" fillId="3" borderId="0" xfId="0" applyFont="1" applyFill="1" applyAlignment="1" applyProtection="1">
      <alignment horizontal="center" vertical="center"/>
      <protection locked="0" hidden="1"/>
    </xf>
    <xf numFmtId="0" fontId="68" fillId="0" borderId="0" xfId="0" applyFont="1" applyAlignment="1" applyProtection="1">
      <alignment horizontal="left" vertical="center"/>
      <protection locked="0"/>
    </xf>
    <xf numFmtId="0" fontId="68" fillId="0" borderId="0" xfId="0" applyFont="1" applyProtection="1">
      <protection locked="0"/>
    </xf>
    <xf numFmtId="0" fontId="69" fillId="30" borderId="49" xfId="0" applyFont="1" applyFill="1" applyBorder="1" applyAlignment="1" applyProtection="1">
      <alignment horizontal="center" vertical="center" wrapText="1"/>
      <protection locked="0"/>
    </xf>
    <xf numFmtId="0" fontId="69" fillId="30" borderId="49" xfId="0" applyFont="1" applyFill="1" applyBorder="1" applyAlignment="1" applyProtection="1">
      <alignment horizontal="left" vertical="center" wrapText="1"/>
      <protection locked="0"/>
    </xf>
    <xf numFmtId="0" fontId="70" fillId="0" borderId="0" xfId="0" applyFont="1" applyAlignment="1" applyProtection="1">
      <alignment horizontal="left" vertical="center" wrapText="1"/>
      <protection locked="0"/>
    </xf>
    <xf numFmtId="0" fontId="70" fillId="31" borderId="0" xfId="0" applyFont="1" applyFill="1" applyAlignment="1" applyProtection="1">
      <alignment horizontal="left" vertical="center" wrapText="1"/>
      <protection locked="0"/>
    </xf>
    <xf numFmtId="0" fontId="70" fillId="31" borderId="0" xfId="0" applyFont="1" applyFill="1" applyAlignment="1" applyProtection="1">
      <alignment horizontal="center" vertical="center" wrapText="1"/>
      <protection locked="0"/>
    </xf>
    <xf numFmtId="164" fontId="0" fillId="3" borderId="6" xfId="0" applyNumberFormat="1" applyFill="1" applyBorder="1" applyAlignment="1" applyProtection="1">
      <alignment horizontal="center" vertical="center"/>
      <protection locked="0" hidden="1"/>
    </xf>
    <xf numFmtId="0" fontId="5" fillId="8" borderId="35" xfId="0" applyFont="1" applyFill="1" applyBorder="1" applyAlignment="1" applyProtection="1">
      <alignment horizontal="left" vertical="center" wrapText="1"/>
      <protection hidden="1"/>
    </xf>
    <xf numFmtId="0" fontId="4" fillId="8" borderId="35" xfId="0" applyFont="1" applyFill="1" applyBorder="1" applyAlignment="1" applyProtection="1">
      <alignment horizontal="left" vertical="center" wrapText="1"/>
      <protection hidden="1"/>
    </xf>
    <xf numFmtId="0" fontId="4" fillId="8" borderId="35" xfId="0" applyFont="1" applyFill="1" applyBorder="1" applyAlignment="1" applyProtection="1">
      <alignment horizontal="center" vertical="center" wrapText="1"/>
      <protection hidden="1"/>
    </xf>
    <xf numFmtId="0" fontId="16" fillId="4" borderId="38" xfId="2" applyFont="1" applyBorder="1" applyAlignment="1" applyProtection="1">
      <alignment horizontal="left" vertical="center" wrapText="1"/>
      <protection hidden="1"/>
    </xf>
    <xf numFmtId="0" fontId="16" fillId="4" borderId="41" xfId="2" applyFont="1" applyBorder="1" applyAlignment="1" applyProtection="1">
      <alignment horizontal="left" vertical="center" wrapText="1"/>
      <protection hidden="1"/>
    </xf>
    <xf numFmtId="164" fontId="0" fillId="4" borderId="35" xfId="2" applyNumberFormat="1" applyFont="1" applyBorder="1" applyAlignment="1" applyProtection="1">
      <alignment horizontal="center" vertical="center"/>
      <protection hidden="1"/>
    </xf>
    <xf numFmtId="0" fontId="16" fillId="4" borderId="40" xfId="2" applyFont="1" applyBorder="1" applyAlignment="1" applyProtection="1">
      <alignment horizontal="left" vertical="center" wrapText="1"/>
      <protection hidden="1"/>
    </xf>
    <xf numFmtId="0" fontId="0" fillId="4" borderId="35" xfId="2" applyFont="1" applyBorder="1" applyAlignment="1" applyProtection="1">
      <alignment horizontal="center" vertical="center" wrapText="1"/>
      <protection hidden="1"/>
    </xf>
    <xf numFmtId="0" fontId="0" fillId="4" borderId="39" xfId="2" applyFont="1" applyBorder="1" applyAlignment="1" applyProtection="1">
      <alignment horizontal="left" vertical="center" wrapText="1"/>
      <protection hidden="1"/>
    </xf>
    <xf numFmtId="0" fontId="4" fillId="7" borderId="39" xfId="4" applyBorder="1" applyAlignment="1" applyProtection="1">
      <alignment horizontal="left" vertical="center" wrapText="1"/>
      <protection hidden="1"/>
    </xf>
    <xf numFmtId="0" fontId="4" fillId="7" borderId="39" xfId="4" applyBorder="1" applyProtection="1">
      <alignment horizontal="center" vertical="center" wrapText="1"/>
      <protection hidden="1"/>
    </xf>
    <xf numFmtId="0" fontId="4" fillId="2" borderId="35" xfId="0" applyFont="1" applyFill="1" applyBorder="1" applyAlignment="1" applyProtection="1">
      <alignment horizontal="center" vertical="center" wrapText="1"/>
      <protection hidden="1"/>
    </xf>
    <xf numFmtId="0" fontId="5" fillId="2" borderId="35" xfId="0" applyFont="1" applyFill="1" applyBorder="1" applyAlignment="1" applyProtection="1">
      <alignment horizontal="left" vertical="center" wrapText="1"/>
      <protection hidden="1"/>
    </xf>
    <xf numFmtId="0" fontId="0" fillId="6" borderId="39" xfId="5" applyFont="1" applyFill="1" applyBorder="1" applyAlignment="1" applyProtection="1">
      <alignment horizontal="center" vertical="center"/>
      <protection hidden="1"/>
    </xf>
    <xf numFmtId="0" fontId="0" fillId="6" borderId="39" xfId="5" applyFont="1" applyFill="1" applyBorder="1" applyAlignment="1" applyProtection="1">
      <alignment horizontal="left" vertical="center"/>
      <protection hidden="1"/>
    </xf>
    <xf numFmtId="0" fontId="4" fillId="2" borderId="35" xfId="0" applyFont="1" applyFill="1" applyBorder="1" applyAlignment="1" applyProtection="1">
      <alignment horizontal="left" vertical="center" wrapText="1"/>
      <protection hidden="1"/>
    </xf>
    <xf numFmtId="0" fontId="4" fillId="2" borderId="35" xfId="0" applyFont="1" applyFill="1" applyBorder="1" applyAlignment="1" applyProtection="1">
      <alignment vertical="center" wrapText="1"/>
      <protection hidden="1"/>
    </xf>
    <xf numFmtId="0" fontId="9" fillId="24" borderId="35" xfId="5" applyFont="1" applyFill="1" applyBorder="1" applyAlignment="1" applyProtection="1">
      <alignment horizontal="center" vertical="center"/>
      <protection hidden="1"/>
    </xf>
    <xf numFmtId="0" fontId="9" fillId="24" borderId="35" xfId="5" applyFont="1" applyFill="1" applyBorder="1" applyAlignment="1" applyProtection="1">
      <alignment horizontal="left" vertical="center"/>
      <protection hidden="1"/>
    </xf>
    <xf numFmtId="0" fontId="9" fillId="4" borderId="35" xfId="2" applyBorder="1" applyAlignment="1" applyProtection="1">
      <alignment horizontal="left" vertical="center" wrapText="1"/>
      <protection hidden="1"/>
    </xf>
    <xf numFmtId="164" fontId="9" fillId="4" borderId="35" xfId="2" applyNumberFormat="1" applyBorder="1" applyAlignment="1" applyProtection="1">
      <alignment horizontal="center" vertical="center"/>
      <protection hidden="1"/>
    </xf>
    <xf numFmtId="0" fontId="0" fillId="4" borderId="39" xfId="2" applyFont="1" applyBorder="1" applyAlignment="1" applyProtection="1">
      <alignment horizontal="left" vertical="center"/>
      <protection hidden="1"/>
    </xf>
    <xf numFmtId="0" fontId="16" fillId="4" borderId="40" xfId="2" applyFont="1" applyBorder="1" applyAlignment="1" applyProtection="1">
      <alignment horizontal="left" vertical="center"/>
      <protection hidden="1"/>
    </xf>
    <xf numFmtId="0" fontId="5" fillId="2" borderId="35" xfId="0" applyFont="1" applyFill="1" applyBorder="1" applyAlignment="1" applyProtection="1">
      <alignment horizontal="center" vertical="center" wrapText="1"/>
      <protection hidden="1"/>
    </xf>
    <xf numFmtId="0" fontId="0" fillId="4" borderId="35" xfId="2" applyFont="1" applyBorder="1" applyAlignment="1" applyProtection="1">
      <alignment horizontal="left" vertical="top" wrapText="1"/>
      <protection hidden="1"/>
    </xf>
    <xf numFmtId="0" fontId="0" fillId="4" borderId="35" xfId="2" applyFont="1" applyBorder="1" applyAlignment="1" applyProtection="1">
      <alignment horizontal="center" vertical="center"/>
      <protection hidden="1"/>
    </xf>
    <xf numFmtId="0" fontId="0" fillId="4" borderId="39" xfId="2" applyFont="1" applyBorder="1" applyAlignment="1" applyProtection="1">
      <alignment horizontal="left" vertical="top" wrapText="1"/>
      <protection hidden="1"/>
    </xf>
    <xf numFmtId="0" fontId="0" fillId="4" borderId="39" xfId="2" applyFont="1" applyBorder="1" applyAlignment="1" applyProtection="1">
      <alignment horizontal="center" vertical="center"/>
      <protection hidden="1"/>
    </xf>
    <xf numFmtId="0" fontId="9" fillId="4" borderId="39" xfId="2" applyBorder="1" applyAlignment="1" applyProtection="1">
      <alignment horizontal="left" vertical="center" wrapText="1"/>
      <protection hidden="1"/>
    </xf>
    <xf numFmtId="0" fontId="4" fillId="8" borderId="35" xfId="0" applyFont="1" applyFill="1" applyBorder="1" applyAlignment="1" applyProtection="1">
      <alignment horizontal="center" vertical="center" wrapText="1"/>
      <protection locked="0"/>
    </xf>
    <xf numFmtId="0" fontId="0" fillId="4" borderId="43" xfId="2" applyFont="1" applyBorder="1" applyAlignment="1" applyProtection="1">
      <alignment horizontal="center" vertical="center" wrapText="1"/>
      <protection hidden="1"/>
    </xf>
    <xf numFmtId="0" fontId="0" fillId="4" borderId="43" xfId="2" applyFont="1" applyBorder="1" applyAlignment="1" applyProtection="1">
      <alignment horizontal="center" vertical="center"/>
      <protection hidden="1"/>
    </xf>
    <xf numFmtId="0" fontId="9" fillId="6" borderId="39" xfId="5" applyFont="1" applyFill="1" applyBorder="1" applyAlignment="1" applyProtection="1">
      <alignment horizontal="center" vertical="center"/>
      <protection hidden="1"/>
    </xf>
    <xf numFmtId="0" fontId="0" fillId="4" borderId="38" xfId="2" applyFont="1" applyBorder="1" applyAlignment="1" applyProtection="1">
      <alignment horizontal="center" vertical="center" wrapText="1"/>
      <protection hidden="1"/>
    </xf>
    <xf numFmtId="0" fontId="0" fillId="4" borderId="43" xfId="2" applyFont="1" applyBorder="1" applyAlignment="1" applyProtection="1">
      <alignment horizontal="left" vertical="center" wrapText="1"/>
      <protection hidden="1"/>
    </xf>
    <xf numFmtId="0" fontId="9" fillId="4" borderId="38" xfId="2" applyBorder="1" applyAlignment="1" applyProtection="1">
      <alignment horizontal="center" vertical="center" wrapText="1"/>
      <protection hidden="1"/>
    </xf>
    <xf numFmtId="0" fontId="9" fillId="24" borderId="43" xfId="2" applyFill="1" applyBorder="1" applyAlignment="1" applyProtection="1">
      <alignment horizontal="left" vertical="center" wrapText="1"/>
      <protection hidden="1"/>
    </xf>
    <xf numFmtId="0" fontId="9" fillId="4" borderId="43" xfId="2" applyBorder="1" applyAlignment="1" applyProtection="1">
      <alignment horizontal="left" vertical="center" wrapText="1"/>
      <protection hidden="1"/>
    </xf>
    <xf numFmtId="0" fontId="9" fillId="4" borderId="35" xfId="2" applyBorder="1" applyAlignment="1" applyProtection="1">
      <alignment horizontal="left" vertical="center"/>
      <protection hidden="1"/>
    </xf>
    <xf numFmtId="164" fontId="9" fillId="4" borderId="39" xfId="2" applyNumberFormat="1" applyBorder="1" applyAlignment="1" applyProtection="1">
      <alignment horizontal="center" vertical="center"/>
      <protection hidden="1"/>
    </xf>
    <xf numFmtId="0" fontId="0" fillId="4" borderId="49" xfId="2" applyFont="1" applyBorder="1" applyAlignment="1" applyProtection="1">
      <alignment horizontal="left" vertical="center" wrapText="1"/>
      <protection locked="0" hidden="1"/>
    </xf>
    <xf numFmtId="0" fontId="0" fillId="4" borderId="49" xfId="2" applyFont="1" applyBorder="1" applyAlignment="1" applyProtection="1">
      <alignment horizontal="left" vertical="center"/>
      <protection locked="0"/>
    </xf>
    <xf numFmtId="0" fontId="13" fillId="9" borderId="49" xfId="2" applyFont="1" applyFill="1" applyBorder="1" applyAlignment="1" applyProtection="1">
      <alignment horizontal="center" vertical="center" wrapText="1"/>
      <protection locked="0"/>
    </xf>
    <xf numFmtId="0" fontId="13" fillId="9" borderId="49" xfId="2" applyFont="1" applyFill="1" applyBorder="1" applyAlignment="1" applyProtection="1">
      <alignment horizontal="left" vertical="center" wrapText="1"/>
      <protection locked="0"/>
    </xf>
    <xf numFmtId="0" fontId="0" fillId="24" borderId="35" xfId="5" applyFont="1" applyFill="1" applyBorder="1" applyAlignment="1" applyProtection="1">
      <alignment horizontal="center" vertical="center"/>
      <protection hidden="1"/>
    </xf>
    <xf numFmtId="0" fontId="13" fillId="9" borderId="35" xfId="5" applyBorder="1" applyAlignment="1" applyProtection="1">
      <alignment horizontal="center" vertical="center"/>
      <protection hidden="1"/>
    </xf>
    <xf numFmtId="0" fontId="13" fillId="9" borderId="35" xfId="5" applyBorder="1" applyAlignment="1" applyProtection="1">
      <alignment horizontal="left" vertical="center"/>
      <protection hidden="1"/>
    </xf>
    <xf numFmtId="0" fontId="13" fillId="9" borderId="43" xfId="5" applyBorder="1" applyAlignment="1" applyProtection="1">
      <alignment horizontal="center" vertical="center"/>
      <protection hidden="1"/>
    </xf>
    <xf numFmtId="0" fontId="13" fillId="9" borderId="39" xfId="5" applyBorder="1" applyAlignment="1" applyProtection="1">
      <alignment horizontal="center" vertical="center"/>
      <protection hidden="1"/>
    </xf>
    <xf numFmtId="0" fontId="13" fillId="9" borderId="39" xfId="5" applyBorder="1" applyAlignment="1" applyProtection="1">
      <alignment horizontal="left" vertical="center"/>
      <protection hidden="1"/>
    </xf>
    <xf numFmtId="0" fontId="13" fillId="9" borderId="35" xfId="5" applyBorder="1" applyAlignment="1" applyProtection="1">
      <alignment horizontal="center" vertical="center"/>
      <protection locked="0" hidden="1"/>
    </xf>
    <xf numFmtId="0" fontId="13" fillId="9" borderId="39" xfId="5" applyBorder="1" applyAlignment="1" applyProtection="1">
      <alignment horizontal="center" vertical="center"/>
      <protection locked="0" hidden="1"/>
    </xf>
    <xf numFmtId="0" fontId="9" fillId="4" borderId="39" xfId="2" applyBorder="1" applyAlignment="1" applyProtection="1">
      <alignment horizontal="left" vertical="center"/>
      <protection hidden="1"/>
    </xf>
    <xf numFmtId="0" fontId="6" fillId="0" borderId="46" xfId="0" applyFont="1" applyBorder="1" applyAlignment="1" applyProtection="1">
      <alignment horizontal="center" vertical="center" wrapText="1"/>
      <protection hidden="1"/>
    </xf>
    <xf numFmtId="0" fontId="45" fillId="4" borderId="51" xfId="2" applyFont="1" applyBorder="1" applyAlignment="1" applyProtection="1">
      <alignment horizontal="left" vertical="center" wrapText="1"/>
      <protection hidden="1"/>
    </xf>
    <xf numFmtId="0" fontId="0" fillId="0" borderId="50" xfId="0" applyBorder="1" applyAlignment="1" applyProtection="1">
      <alignment wrapText="1"/>
      <protection hidden="1"/>
    </xf>
    <xf numFmtId="0" fontId="0" fillId="0" borderId="50" xfId="0" applyBorder="1" applyProtection="1">
      <protection hidden="1"/>
    </xf>
    <xf numFmtId="0" fontId="0" fillId="3" borderId="50" xfId="0" applyFill="1" applyBorder="1" applyAlignment="1" applyProtection="1">
      <alignment horizontal="center" vertical="center" wrapText="1"/>
      <protection locked="0" hidden="1"/>
    </xf>
    <xf numFmtId="0" fontId="56" fillId="3" borderId="50" xfId="0" applyFont="1" applyFill="1" applyBorder="1" applyAlignment="1" applyProtection="1">
      <alignment horizontal="center" vertical="center"/>
      <protection locked="0" hidden="1"/>
    </xf>
    <xf numFmtId="0" fontId="6" fillId="3" borderId="50" xfId="0" applyFont="1" applyFill="1" applyBorder="1" applyAlignment="1" applyProtection="1">
      <alignment horizontal="center" vertical="center"/>
      <protection locked="0" hidden="1"/>
    </xf>
    <xf numFmtId="0" fontId="0" fillId="0" borderId="50" xfId="0" applyBorder="1" applyAlignment="1" applyProtection="1">
      <alignment horizontal="center" vertical="center" wrapText="1"/>
      <protection locked="0" hidden="1"/>
    </xf>
    <xf numFmtId="0" fontId="0" fillId="0" borderId="50" xfId="0" applyBorder="1" applyAlignment="1" applyProtection="1">
      <alignment horizontal="center" vertical="center"/>
      <protection locked="0" hidden="1"/>
    </xf>
    <xf numFmtId="0" fontId="16" fillId="0" borderId="50" xfId="0" applyFont="1" applyBorder="1" applyAlignment="1" applyProtection="1">
      <alignment wrapText="1"/>
      <protection hidden="1"/>
    </xf>
    <xf numFmtId="0" fontId="0" fillId="7" borderId="50" xfId="0" applyFill="1" applyBorder="1" applyAlignment="1" applyProtection="1">
      <alignment wrapText="1"/>
      <protection hidden="1"/>
    </xf>
    <xf numFmtId="0" fontId="0" fillId="0" borderId="54" xfId="0" applyBorder="1" applyProtection="1">
      <protection hidden="1"/>
    </xf>
    <xf numFmtId="0" fontId="0" fillId="0" borderId="54" xfId="0" applyBorder="1" applyAlignment="1" applyProtection="1">
      <alignment wrapText="1"/>
      <protection hidden="1"/>
    </xf>
    <xf numFmtId="0" fontId="16" fillId="0" borderId="50" xfId="0" applyFont="1" applyBorder="1" applyProtection="1">
      <protection hidden="1"/>
    </xf>
    <xf numFmtId="0" fontId="0" fillId="0" borderId="50" xfId="0" applyBorder="1" applyAlignment="1" applyProtection="1">
      <alignment horizontal="center" vertical="center"/>
      <protection hidden="1"/>
    </xf>
    <xf numFmtId="0" fontId="0" fillId="0" borderId="50" xfId="0" applyBorder="1" applyAlignment="1" applyProtection="1">
      <alignment horizontal="center" vertical="center" wrapText="1"/>
      <protection hidden="1"/>
    </xf>
    <xf numFmtId="0" fontId="6" fillId="0" borderId="50" xfId="0" applyFont="1" applyBorder="1" applyAlignment="1" applyProtection="1">
      <alignment horizontal="center" vertical="center" wrapText="1"/>
      <protection hidden="1"/>
    </xf>
    <xf numFmtId="0" fontId="56" fillId="7" borderId="50" xfId="0" applyFont="1" applyFill="1" applyBorder="1" applyAlignment="1" applyProtection="1">
      <alignment horizontal="center" vertical="center"/>
      <protection hidden="1"/>
    </xf>
    <xf numFmtId="0" fontId="56" fillId="0" borderId="50" xfId="0" applyFont="1" applyBorder="1" applyAlignment="1" applyProtection="1">
      <alignment horizontal="center" vertical="center"/>
      <protection hidden="1"/>
    </xf>
    <xf numFmtId="0" fontId="56" fillId="0" borderId="50" xfId="0" applyFont="1" applyBorder="1" applyAlignment="1" applyProtection="1">
      <alignment horizontal="center" vertical="center"/>
      <protection locked="0" hidden="1"/>
    </xf>
    <xf numFmtId="0" fontId="6" fillId="7" borderId="50" xfId="0" applyFont="1" applyFill="1" applyBorder="1" applyAlignment="1" applyProtection="1">
      <alignment horizontal="center" vertical="center" wrapText="1"/>
      <protection hidden="1"/>
    </xf>
    <xf numFmtId="0" fontId="57" fillId="0" borderId="50" xfId="0" applyFont="1" applyBorder="1" applyAlignment="1" applyProtection="1">
      <alignment horizontal="center" vertical="center" wrapText="1"/>
      <protection hidden="1"/>
    </xf>
    <xf numFmtId="0" fontId="57" fillId="7" borderId="50" xfId="0" applyFont="1" applyFill="1" applyBorder="1" applyAlignment="1" applyProtection="1">
      <alignment horizontal="center" vertical="center" wrapText="1"/>
      <protection hidden="1"/>
    </xf>
    <xf numFmtId="0" fontId="6" fillId="0" borderId="50" xfId="0" applyFont="1" applyBorder="1" applyAlignment="1" applyProtection="1">
      <alignment horizontal="center" vertical="center"/>
      <protection locked="0" hidden="1"/>
    </xf>
    <xf numFmtId="0" fontId="67" fillId="35" borderId="55" xfId="0" applyFont="1" applyFill="1" applyBorder="1" applyAlignment="1" applyProtection="1">
      <alignment horizontal="center" vertical="center" wrapText="1" readingOrder="1"/>
      <protection locked="0"/>
    </xf>
    <xf numFmtId="0" fontId="67" fillId="36" borderId="56" xfId="0" applyFont="1" applyFill="1" applyBorder="1" applyAlignment="1" applyProtection="1">
      <alignment horizontal="center" vertical="center" wrapText="1" readingOrder="1"/>
      <protection locked="0"/>
    </xf>
    <xf numFmtId="0" fontId="67" fillId="37" borderId="57" xfId="0" applyFont="1" applyFill="1" applyBorder="1" applyAlignment="1" applyProtection="1">
      <alignment horizontal="center" vertical="center" wrapText="1" readingOrder="1"/>
      <protection locked="0"/>
    </xf>
    <xf numFmtId="0" fontId="67" fillId="38" borderId="58" xfId="0" applyFont="1" applyFill="1" applyBorder="1" applyAlignment="1" applyProtection="1">
      <alignment horizontal="center" vertical="center" wrapText="1" readingOrder="1"/>
      <protection locked="0"/>
    </xf>
    <xf numFmtId="0" fontId="64" fillId="39" borderId="59" xfId="0" applyFont="1" applyFill="1" applyBorder="1" applyAlignment="1" applyProtection="1">
      <alignment horizontal="left" vertical="center" wrapText="1" readingOrder="1"/>
      <protection locked="0"/>
    </xf>
    <xf numFmtId="0" fontId="67" fillId="43" borderId="62" xfId="0" applyFont="1" applyFill="1" applyBorder="1" applyAlignment="1" applyProtection="1">
      <alignment horizontal="center" vertical="center" wrapText="1" readingOrder="1"/>
      <protection locked="0"/>
    </xf>
    <xf numFmtId="0" fontId="46" fillId="0" borderId="0" xfId="2" applyFont="1" applyFill="1" applyBorder="1" applyAlignment="1" applyProtection="1">
      <alignment horizontal="left" vertical="center" wrapText="1"/>
      <protection locked="0" hidden="1"/>
    </xf>
    <xf numFmtId="0" fontId="69" fillId="44" borderId="49" xfId="0" applyFont="1" applyFill="1" applyBorder="1" applyAlignment="1" applyProtection="1">
      <alignment horizontal="center" vertical="center" wrapText="1"/>
      <protection locked="0"/>
    </xf>
    <xf numFmtId="0" fontId="69" fillId="44" borderId="49" xfId="0" applyFont="1" applyFill="1" applyBorder="1" applyAlignment="1" applyProtection="1">
      <alignment horizontal="left" vertical="center" wrapText="1"/>
      <protection locked="0"/>
    </xf>
    <xf numFmtId="0" fontId="76" fillId="0" borderId="0" xfId="0" applyFont="1" applyAlignment="1" applyProtection="1">
      <alignment horizontal="left" vertical="center"/>
      <protection locked="0"/>
    </xf>
    <xf numFmtId="0" fontId="70" fillId="3" borderId="0" xfId="0" applyFont="1" applyFill="1" applyAlignment="1" applyProtection="1">
      <alignment horizontal="left" vertical="center" wrapText="1"/>
      <protection locked="0"/>
    </xf>
    <xf numFmtId="1" fontId="0" fillId="3" borderId="6" xfId="0" applyNumberFormat="1" applyFill="1" applyBorder="1" applyAlignment="1" applyProtection="1">
      <alignment horizontal="center" vertical="center"/>
      <protection locked="0" hidden="1"/>
    </xf>
    <xf numFmtId="1" fontId="0" fillId="3" borderId="6" xfId="3" applyNumberFormat="1" applyFont="1" applyFill="1" applyBorder="1" applyAlignment="1" applyProtection="1">
      <alignment horizontal="center" vertical="center"/>
      <protection locked="0" hidden="1"/>
    </xf>
    <xf numFmtId="1" fontId="14" fillId="9" borderId="0" xfId="0" applyNumberFormat="1" applyFont="1" applyFill="1" applyAlignment="1" applyProtection="1">
      <alignment horizontal="center" vertical="center"/>
      <protection hidden="1"/>
    </xf>
    <xf numFmtId="1" fontId="14" fillId="9" borderId="0" xfId="220" applyNumberFormat="1" applyFont="1" applyFill="1" applyAlignment="1" applyProtection="1">
      <alignment horizontal="center" vertical="center"/>
      <protection hidden="1"/>
    </xf>
    <xf numFmtId="164" fontId="16" fillId="47" borderId="72" xfId="0" applyNumberFormat="1" applyFont="1" applyFill="1" applyBorder="1" applyAlignment="1" applyProtection="1">
      <alignment horizontal="center" vertical="center"/>
      <protection hidden="1"/>
    </xf>
    <xf numFmtId="1" fontId="16" fillId="47" borderId="73" xfId="0" applyNumberFormat="1" applyFont="1" applyFill="1" applyBorder="1" applyAlignment="1" applyProtection="1">
      <alignment horizontal="center" vertical="center"/>
      <protection hidden="1"/>
    </xf>
    <xf numFmtId="164" fontId="16" fillId="47" borderId="74" xfId="0" applyNumberFormat="1" applyFont="1" applyFill="1" applyBorder="1" applyAlignment="1" applyProtection="1">
      <alignment horizontal="center" vertical="center"/>
      <protection hidden="1"/>
    </xf>
    <xf numFmtId="164" fontId="16" fillId="47" borderId="71" xfId="0" applyNumberFormat="1" applyFont="1" applyFill="1" applyBorder="1" applyAlignment="1" applyProtection="1">
      <alignment horizontal="center" vertical="center"/>
      <protection hidden="1"/>
    </xf>
    <xf numFmtId="0" fontId="69" fillId="47" borderId="49" xfId="0" applyFont="1" applyFill="1" applyBorder="1" applyAlignment="1" applyProtection="1">
      <alignment horizontal="center" vertical="center" wrapText="1"/>
      <protection locked="0"/>
    </xf>
    <xf numFmtId="0" fontId="69" fillId="47" borderId="49" xfId="0" applyFont="1" applyFill="1" applyBorder="1" applyAlignment="1" applyProtection="1">
      <alignment horizontal="left" vertical="center" wrapText="1"/>
      <protection locked="0"/>
    </xf>
    <xf numFmtId="0" fontId="69" fillId="47" borderId="0" xfId="0" applyFont="1" applyFill="1" applyAlignment="1" applyProtection="1">
      <alignment horizontal="center" vertical="center" wrapText="1"/>
      <protection locked="0"/>
    </xf>
    <xf numFmtId="0" fontId="69" fillId="47" borderId="0" xfId="0" applyFont="1" applyFill="1" applyAlignment="1" applyProtection="1">
      <alignment horizontal="left" vertical="center" wrapText="1"/>
      <protection locked="0"/>
    </xf>
    <xf numFmtId="0" fontId="67" fillId="41" borderId="76" xfId="0" applyFont="1" applyFill="1" applyBorder="1" applyAlignment="1" applyProtection="1">
      <alignment horizontal="center" vertical="center" wrapText="1" readingOrder="1"/>
      <protection locked="0"/>
    </xf>
    <xf numFmtId="0" fontId="69" fillId="47" borderId="70" xfId="0" applyFont="1" applyFill="1" applyBorder="1" applyAlignment="1" applyProtection="1">
      <alignment horizontal="center" vertical="center" wrapText="1"/>
      <protection locked="0"/>
    </xf>
    <xf numFmtId="0" fontId="69" fillId="47" borderId="70" xfId="0" applyFont="1" applyFill="1" applyBorder="1" applyAlignment="1" applyProtection="1">
      <alignment horizontal="left" vertical="center" wrapText="1"/>
      <protection locked="0"/>
    </xf>
    <xf numFmtId="0" fontId="67" fillId="42" borderId="77" xfId="0" applyFont="1" applyFill="1" applyBorder="1" applyAlignment="1" applyProtection="1">
      <alignment horizontal="center" vertical="center" wrapText="1" readingOrder="1"/>
      <protection locked="0"/>
    </xf>
    <xf numFmtId="0" fontId="67" fillId="43" borderId="78" xfId="0" applyFont="1" applyFill="1" applyBorder="1" applyAlignment="1" applyProtection="1">
      <alignment horizontal="center" vertical="center" wrapText="1" readingOrder="1"/>
      <protection locked="0"/>
    </xf>
    <xf numFmtId="0" fontId="69" fillId="48" borderId="0" xfId="0" applyFont="1" applyFill="1" applyAlignment="1" applyProtection="1">
      <alignment horizontal="center" vertical="center" wrapText="1"/>
      <protection locked="0"/>
    </xf>
    <xf numFmtId="0" fontId="85" fillId="0" borderId="0" xfId="0" applyFont="1" applyAlignment="1" applyProtection="1">
      <alignment horizontal="center" vertical="top"/>
      <protection locked="0"/>
    </xf>
    <xf numFmtId="0" fontId="0" fillId="0" borderId="0" xfId="0" applyAlignment="1">
      <alignment vertical="top"/>
    </xf>
    <xf numFmtId="0" fontId="86" fillId="0" borderId="0" xfId="234">
      <alignment vertical="center"/>
    </xf>
    <xf numFmtId="0" fontId="0" fillId="0" borderId="0" xfId="0" applyAlignment="1">
      <alignment vertical="center"/>
    </xf>
    <xf numFmtId="0" fontId="90" fillId="0" borderId="0" xfId="234" applyFont="1">
      <alignment vertical="center"/>
    </xf>
    <xf numFmtId="0" fontId="91" fillId="0" borderId="0" xfId="0" applyFont="1" applyAlignment="1">
      <alignment vertical="center"/>
    </xf>
    <xf numFmtId="0" fontId="92" fillId="0" borderId="0" xfId="234" applyFont="1">
      <alignment vertical="center"/>
    </xf>
    <xf numFmtId="0" fontId="85" fillId="0" borderId="0" xfId="0" applyFont="1" applyAlignment="1" applyProtection="1">
      <alignment horizontal="center" vertical="center"/>
      <protection locked="0"/>
    </xf>
    <xf numFmtId="0" fontId="0" fillId="0" borderId="0" xfId="0" applyAlignment="1">
      <alignment horizontal="center" vertical="center"/>
    </xf>
    <xf numFmtId="0" fontId="0" fillId="0" borderId="0" xfId="0" applyAlignment="1">
      <alignment horizontal="right" vertical="center"/>
    </xf>
    <xf numFmtId="166" fontId="0" fillId="0" borderId="0" xfId="0" applyNumberFormat="1" applyAlignment="1">
      <alignment vertical="center"/>
    </xf>
    <xf numFmtId="0" fontId="89" fillId="0" borderId="0" xfId="0" applyFont="1" applyAlignment="1">
      <alignment horizontal="center" vertical="center"/>
    </xf>
    <xf numFmtId="0" fontId="89" fillId="0" borderId="0" xfId="0" applyFont="1" applyAlignment="1">
      <alignment vertical="center"/>
    </xf>
    <xf numFmtId="166" fontId="0" fillId="0" borderId="0" xfId="0" quotePrefix="1" applyNumberFormat="1" applyAlignment="1">
      <alignment vertical="center"/>
    </xf>
    <xf numFmtId="1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quotePrefix="1" applyAlignment="1">
      <alignment horizontal="left" vertical="center" wrapText="1"/>
    </xf>
    <xf numFmtId="0" fontId="0" fillId="0" borderId="0" xfId="0" quotePrefix="1" applyAlignment="1">
      <alignment horizontal="left" vertical="center"/>
    </xf>
    <xf numFmtId="20" fontId="0" fillId="0" borderId="0" xfId="0" quotePrefix="1" applyNumberFormat="1" applyAlignment="1">
      <alignment horizontal="left" vertical="center"/>
    </xf>
    <xf numFmtId="0" fontId="0" fillId="0" borderId="0" xfId="0" applyAlignment="1">
      <alignment vertical="center" wrapText="1"/>
    </xf>
    <xf numFmtId="0" fontId="93" fillId="0" borderId="79" xfId="0" applyFont="1" applyBorder="1" applyAlignment="1">
      <alignment horizontal="center" vertical="center"/>
    </xf>
    <xf numFmtId="0" fontId="93" fillId="0" borderId="79" xfId="0" applyFont="1" applyBorder="1" applyAlignment="1">
      <alignment vertical="center"/>
    </xf>
    <xf numFmtId="0" fontId="63" fillId="0" borderId="0" xfId="0" applyFont="1" applyAlignment="1">
      <alignment horizontal="center" vertical="center" wrapText="1"/>
    </xf>
    <xf numFmtId="14" fontId="53" fillId="0" borderId="0" xfId="0" applyNumberFormat="1" applyFont="1" applyAlignment="1">
      <alignment horizontal="center" vertical="center" wrapText="1"/>
    </xf>
    <xf numFmtId="0" fontId="53" fillId="0" borderId="0" xfId="0" applyFont="1" applyAlignment="1">
      <alignment vertical="center"/>
    </xf>
    <xf numFmtId="0" fontId="58" fillId="0" borderId="80" xfId="0" applyFont="1" applyBorder="1" applyAlignment="1">
      <alignment horizontal="center" vertical="center" wrapText="1"/>
    </xf>
    <xf numFmtId="14" fontId="6" fillId="0" borderId="63" xfId="0" applyNumberFormat="1" applyFont="1" applyBorder="1" applyAlignment="1">
      <alignment horizontal="center" vertical="center"/>
    </xf>
    <xf numFmtId="0" fontId="6" fillId="0" borderId="81" xfId="0" quotePrefix="1" applyFont="1" applyBorder="1" applyAlignment="1">
      <alignment vertical="center" wrapText="1"/>
    </xf>
    <xf numFmtId="0" fontId="6" fillId="0" borderId="63" xfId="0" applyFont="1" applyBorder="1" applyAlignment="1">
      <alignment horizontal="center" vertical="center"/>
    </xf>
    <xf numFmtId="0" fontId="2" fillId="3" borderId="0" xfId="0" applyFont="1" applyFill="1" applyAlignment="1" applyProtection="1">
      <alignment horizontal="center" vertical="center"/>
      <protection locked="0" hidden="1"/>
    </xf>
    <xf numFmtId="1" fontId="2" fillId="3" borderId="0" xfId="0" applyNumberFormat="1" applyFont="1" applyFill="1" applyAlignment="1" applyProtection="1">
      <alignment horizontal="center" vertical="center"/>
      <protection locked="0" hidden="1"/>
    </xf>
    <xf numFmtId="0" fontId="17" fillId="3" borderId="0" xfId="0" applyFont="1" applyFill="1" applyAlignment="1" applyProtection="1">
      <alignment horizontal="center" vertical="center"/>
      <protection locked="0" hidden="1"/>
    </xf>
    <xf numFmtId="0" fontId="0" fillId="3" borderId="0" xfId="0" applyFill="1" applyAlignment="1" applyProtection="1">
      <alignment horizontal="center" vertical="center"/>
      <protection locked="0" hidden="1"/>
    </xf>
    <xf numFmtId="0" fontId="23" fillId="0" borderId="0" xfId="0" applyFont="1" applyAlignment="1" applyProtection="1">
      <alignment horizontal="left" vertical="center" wrapText="1"/>
      <protection locked="0" hidden="1"/>
    </xf>
    <xf numFmtId="0" fontId="4" fillId="3" borderId="0" xfId="0" applyFont="1" applyFill="1" applyAlignment="1" applyProtection="1">
      <alignment horizontal="center" vertical="center" wrapText="1"/>
      <protection locked="0" hidden="1"/>
    </xf>
    <xf numFmtId="0" fontId="19" fillId="3" borderId="0" xfId="0" applyFont="1" applyFill="1" applyAlignment="1" applyProtection="1">
      <alignment horizontal="center" vertical="center"/>
      <protection locked="0" hidden="1"/>
    </xf>
    <xf numFmtId="0" fontId="14" fillId="0" borderId="0" xfId="220" applyNumberFormat="1" applyFont="1" applyFill="1" applyBorder="1" applyAlignment="1" applyProtection="1">
      <alignment horizontal="center" vertical="center"/>
      <protection locked="0" hidden="1"/>
    </xf>
    <xf numFmtId="0" fontId="24" fillId="0" borderId="0" xfId="0" applyFont="1" applyAlignment="1" applyProtection="1">
      <alignment horizontal="left" vertical="center" wrapText="1"/>
      <protection locked="0" hidden="1"/>
    </xf>
    <xf numFmtId="0" fontId="24" fillId="3" borderId="0" xfId="0" applyFont="1" applyFill="1" applyAlignment="1" applyProtection="1">
      <alignment horizontal="left" vertical="center" wrapText="1"/>
      <protection locked="0" hidden="1"/>
    </xf>
    <xf numFmtId="0" fontId="2" fillId="0" borderId="0" xfId="0" applyFont="1" applyAlignment="1" applyProtection="1">
      <alignment horizontal="center" vertical="center"/>
      <protection locked="0" hidden="1"/>
    </xf>
    <xf numFmtId="1" fontId="4" fillId="7" borderId="0" xfId="0" applyNumberFormat="1" applyFont="1" applyFill="1" applyAlignment="1" applyProtection="1">
      <alignment horizontal="center" vertical="center" wrapText="1"/>
      <protection locked="0" hidden="1"/>
    </xf>
    <xf numFmtId="0" fontId="70" fillId="46" borderId="0" xfId="0" applyFont="1" applyFill="1" applyAlignment="1" applyProtection="1">
      <alignment horizontal="center" vertical="center" wrapText="1"/>
      <protection locked="0"/>
    </xf>
    <xf numFmtId="0" fontId="70" fillId="33" borderId="0" xfId="0" applyFont="1" applyFill="1" applyAlignment="1" applyProtection="1">
      <alignment horizontal="center" vertical="center" wrapText="1"/>
      <protection locked="0"/>
    </xf>
    <xf numFmtId="0" fontId="4" fillId="46" borderId="0" xfId="0" applyFont="1" applyFill="1" applyAlignment="1" applyProtection="1">
      <alignment horizontal="center" vertical="center" wrapText="1"/>
      <protection locked="0"/>
    </xf>
    <xf numFmtId="0" fontId="77" fillId="46" borderId="0" xfId="0" applyFont="1" applyFill="1" applyAlignment="1" applyProtection="1">
      <alignment horizontal="center" vertical="center" wrapText="1"/>
      <protection locked="0"/>
    </xf>
    <xf numFmtId="0" fontId="77" fillId="46" borderId="0" xfId="0" applyFont="1" applyFill="1" applyAlignment="1" applyProtection="1">
      <alignment horizontal="left" vertical="center" wrapText="1"/>
      <protection locked="0"/>
    </xf>
    <xf numFmtId="0" fontId="77" fillId="33" borderId="0" xfId="0" applyFont="1" applyFill="1" applyAlignment="1" applyProtection="1">
      <alignment horizontal="center" vertical="center" wrapText="1"/>
      <protection locked="0"/>
    </xf>
    <xf numFmtId="0" fontId="0" fillId="0" borderId="50" xfId="0" applyBorder="1" applyAlignment="1" applyProtection="1">
      <alignment wrapText="1"/>
      <protection locked="0" hidden="1"/>
    </xf>
    <xf numFmtId="0" fontId="0" fillId="0" borderId="0" xfId="0" applyAlignment="1" applyProtection="1">
      <alignment wrapText="1"/>
      <protection locked="0" hidden="1"/>
    </xf>
    <xf numFmtId="0" fontId="0" fillId="44" borderId="41" xfId="2" applyFont="1" applyFill="1" applyBorder="1" applyAlignment="1" applyProtection="1">
      <alignment horizontal="left" vertical="center" wrapText="1"/>
      <protection locked="0"/>
    </xf>
    <xf numFmtId="0" fontId="68" fillId="44" borderId="49" xfId="0" applyFont="1" applyFill="1" applyBorder="1" applyAlignment="1" applyProtection="1">
      <alignment horizontal="left" vertical="center" wrapText="1"/>
      <protection locked="0"/>
    </xf>
    <xf numFmtId="0" fontId="0" fillId="0" borderId="50" xfId="0" applyBorder="1" applyProtection="1">
      <protection locked="0" hidden="1"/>
    </xf>
    <xf numFmtId="0" fontId="68" fillId="0" borderId="0" xfId="0" applyFont="1" applyProtection="1">
      <protection locked="0" hidden="1"/>
    </xf>
    <xf numFmtId="0" fontId="68" fillId="0" borderId="0" xfId="0" applyFont="1" applyAlignment="1" applyProtection="1">
      <alignment wrapText="1"/>
      <protection locked="0" hidden="1"/>
    </xf>
    <xf numFmtId="0" fontId="4" fillId="7" borderId="39" xfId="4" applyBorder="1" applyProtection="1">
      <alignment horizontal="center" vertical="center" wrapText="1"/>
      <protection locked="0" hidden="1"/>
    </xf>
    <xf numFmtId="0" fontId="14" fillId="4" borderId="3" xfId="2" applyFont="1" applyAlignment="1" applyProtection="1">
      <alignment horizontal="center" vertical="center" wrapText="1"/>
      <protection locked="0" hidden="1"/>
    </xf>
    <xf numFmtId="2" fontId="65" fillId="3" borderId="34" xfId="1" applyNumberFormat="1" applyFont="1" applyFill="1" applyBorder="1" applyAlignment="1" applyProtection="1">
      <alignment horizontal="center" vertical="center" wrapText="1"/>
      <protection locked="0" hidden="1"/>
    </xf>
    <xf numFmtId="164" fontId="65" fillId="3" borderId="34" xfId="1" applyNumberFormat="1" applyFont="1" applyFill="1" applyBorder="1" applyAlignment="1" applyProtection="1">
      <alignment horizontal="center" vertical="center" wrapText="1"/>
      <protection locked="0" hidden="1"/>
    </xf>
    <xf numFmtId="164" fontId="65" fillId="3" borderId="32" xfId="1" applyNumberFormat="1" applyFont="1" applyFill="1" applyBorder="1" applyAlignment="1" applyProtection="1">
      <alignment horizontal="center" vertical="center" wrapText="1"/>
      <protection locked="0" hidden="1"/>
    </xf>
    <xf numFmtId="0" fontId="0" fillId="47" borderId="41" xfId="2" applyFont="1" applyFill="1" applyBorder="1" applyAlignment="1" applyProtection="1">
      <alignment horizontal="left" vertical="center" wrapText="1"/>
      <protection locked="0"/>
    </xf>
    <xf numFmtId="0" fontId="68" fillId="47" borderId="49" xfId="0" applyFont="1" applyFill="1" applyBorder="1" applyAlignment="1" applyProtection="1">
      <alignment horizontal="left" vertical="center" wrapText="1"/>
      <protection locked="0"/>
    </xf>
    <xf numFmtId="0" fontId="4" fillId="3" borderId="39" xfId="4" applyFill="1" applyBorder="1" applyAlignment="1" applyProtection="1">
      <alignment horizontal="left" vertical="center" wrapText="1"/>
      <protection locked="0" hidden="1"/>
    </xf>
    <xf numFmtId="0" fontId="76" fillId="3" borderId="0" xfId="0" applyFont="1" applyFill="1" applyAlignment="1" applyProtection="1">
      <alignment vertical="center"/>
      <protection locked="0" hidden="1"/>
    </xf>
    <xf numFmtId="0" fontId="76" fillId="0" borderId="0" xfId="0" applyFont="1" applyAlignment="1" applyProtection="1">
      <alignment vertical="center"/>
      <protection locked="0" hidden="1"/>
    </xf>
    <xf numFmtId="0" fontId="0" fillId="47" borderId="70" xfId="2" applyFont="1" applyFill="1" applyBorder="1" applyAlignment="1" applyProtection="1">
      <alignment horizontal="left" vertical="center" wrapText="1"/>
      <protection locked="0"/>
    </xf>
    <xf numFmtId="0" fontId="68" fillId="47" borderId="70" xfId="0" applyFont="1" applyFill="1" applyBorder="1" applyAlignment="1" applyProtection="1">
      <alignment horizontal="left" vertical="center" wrapText="1"/>
      <protection locked="0"/>
    </xf>
    <xf numFmtId="2" fontId="65" fillId="3" borderId="0" xfId="1" applyNumberFormat="1" applyFont="1" applyFill="1" applyAlignment="1" applyProtection="1">
      <alignment horizontal="center" vertical="center" wrapText="1"/>
      <protection locked="0" hidden="1"/>
    </xf>
    <xf numFmtId="164" fontId="65" fillId="3" borderId="0" xfId="1" applyNumberFormat="1" applyFont="1" applyFill="1" applyAlignment="1" applyProtection="1">
      <alignment horizontal="center" vertical="center" wrapText="1"/>
      <protection locked="0" hidden="1"/>
    </xf>
    <xf numFmtId="0" fontId="2" fillId="3" borderId="0" xfId="0" applyFont="1" applyFill="1" applyAlignment="1" applyProtection="1">
      <alignment horizontal="left" vertical="center"/>
      <protection locked="0" hidden="1"/>
    </xf>
    <xf numFmtId="0" fontId="4" fillId="3" borderId="0" xfId="4" applyFill="1" applyAlignment="1" applyProtection="1">
      <alignment horizontal="left" vertical="center" wrapText="1"/>
      <protection locked="0" hidden="1"/>
    </xf>
    <xf numFmtId="0" fontId="4" fillId="3" borderId="0" xfId="4" applyFill="1" applyProtection="1">
      <alignment horizontal="center" vertical="center" wrapText="1"/>
      <protection locked="0" hidden="1"/>
    </xf>
    <xf numFmtId="0" fontId="8" fillId="3" borderId="0" xfId="0" applyFont="1" applyFill="1" applyAlignment="1" applyProtection="1">
      <alignment horizontal="center" vertical="center" wrapText="1"/>
      <protection locked="0" hidden="1"/>
    </xf>
    <xf numFmtId="0" fontId="2" fillId="3" borderId="0" xfId="0" applyFont="1" applyFill="1" applyAlignment="1" applyProtection="1">
      <alignment horizontal="left" vertical="center" wrapText="1"/>
      <protection locked="0" hidden="1"/>
    </xf>
    <xf numFmtId="0" fontId="10" fillId="3" borderId="0" xfId="0" applyFont="1" applyFill="1" applyAlignment="1" applyProtection="1">
      <alignment horizontal="center" vertical="center" wrapText="1"/>
      <protection locked="0" hidden="1"/>
    </xf>
    <xf numFmtId="0" fontId="0" fillId="3" borderId="0" xfId="0" applyFill="1" applyAlignment="1" applyProtection="1">
      <alignment horizontal="left" vertical="center"/>
      <protection locked="0" hidden="1"/>
    </xf>
    <xf numFmtId="0" fontId="0" fillId="3" borderId="0" xfId="0" applyFill="1" applyProtection="1">
      <protection locked="0" hidden="1"/>
    </xf>
    <xf numFmtId="1" fontId="0" fillId="3" borderId="0" xfId="0" applyNumberFormat="1" applyFill="1" applyAlignment="1" applyProtection="1">
      <alignment horizontal="center" vertical="center"/>
      <protection locked="0" hidden="1"/>
    </xf>
    <xf numFmtId="0" fontId="6" fillId="3" borderId="50" xfId="0" applyFont="1" applyFill="1" applyBorder="1" applyAlignment="1" applyProtection="1">
      <alignment horizontal="center" vertical="center" wrapText="1"/>
      <protection locked="0" hidden="1"/>
    </xf>
    <xf numFmtId="0" fontId="6" fillId="3" borderId="46" xfId="0" applyFont="1" applyFill="1" applyBorder="1" applyAlignment="1" applyProtection="1">
      <alignment horizontal="center" vertical="center" wrapText="1"/>
      <protection locked="0" hidden="1"/>
    </xf>
    <xf numFmtId="0" fontId="0" fillId="0" borderId="0" xfId="0" applyAlignment="1" applyProtection="1">
      <alignment horizontal="center" vertical="center"/>
      <protection locked="0" hidden="1"/>
    </xf>
    <xf numFmtId="1" fontId="0" fillId="0" borderId="0" xfId="0" applyNumberFormat="1" applyAlignment="1" applyProtection="1">
      <alignment horizontal="center" vertical="center"/>
      <protection locked="0" hidden="1"/>
    </xf>
    <xf numFmtId="164" fontId="16" fillId="47" borderId="75" xfId="220" applyNumberFormat="1" applyFont="1" applyFill="1" applyBorder="1" applyAlignment="1" applyProtection="1">
      <alignment horizontal="center" vertical="center"/>
    </xf>
    <xf numFmtId="0" fontId="53" fillId="0" borderId="0" xfId="0" applyFont="1" applyAlignment="1">
      <alignment horizontal="right"/>
    </xf>
    <xf numFmtId="0" fontId="53" fillId="0" borderId="0" xfId="0" applyFont="1" applyAlignment="1">
      <alignment vertical="top"/>
    </xf>
    <xf numFmtId="0" fontId="97" fillId="0" borderId="0" xfId="0" applyFont="1" applyAlignment="1">
      <alignment vertical="center"/>
    </xf>
    <xf numFmtId="0" fontId="98" fillId="0" borderId="0" xfId="0" applyFont="1" applyAlignment="1">
      <alignment vertical="center"/>
    </xf>
    <xf numFmtId="0" fontId="53" fillId="0" borderId="0" xfId="0" applyFont="1" applyAlignment="1">
      <alignment vertical="top" wrapText="1"/>
    </xf>
    <xf numFmtId="0" fontId="99" fillId="0" borderId="0" xfId="0" applyFont="1" applyAlignment="1">
      <alignment vertical="center"/>
    </xf>
    <xf numFmtId="0" fontId="100" fillId="0" borderId="0" xfId="0" applyFont="1" applyAlignment="1">
      <alignment vertical="center"/>
    </xf>
    <xf numFmtId="0" fontId="4" fillId="3" borderId="0" xfId="4" applyFill="1" applyAlignment="1">
      <alignment horizontal="left" vertical="center" wrapText="1"/>
      <protection locked="0"/>
    </xf>
    <xf numFmtId="0" fontId="96" fillId="49" borderId="51" xfId="0" applyFont="1" applyFill="1" applyBorder="1" applyAlignment="1">
      <alignment horizontal="left" vertical="center" wrapText="1"/>
    </xf>
    <xf numFmtId="0" fontId="96" fillId="49" borderId="50" xfId="0" applyFont="1" applyFill="1" applyBorder="1" applyAlignment="1">
      <alignment horizontal="left" vertical="center" wrapText="1"/>
    </xf>
    <xf numFmtId="0" fontId="96" fillId="49" borderId="31" xfId="0" applyFont="1" applyFill="1" applyBorder="1" applyAlignment="1">
      <alignment horizontal="left" vertical="center" wrapText="1"/>
    </xf>
    <xf numFmtId="0" fontId="96" fillId="49" borderId="67" xfId="0" applyFont="1" applyFill="1" applyBorder="1" applyAlignment="1">
      <alignment horizontal="left" vertical="center" wrapText="1"/>
    </xf>
    <xf numFmtId="0" fontId="1" fillId="7" borderId="0" xfId="0" applyFont="1" applyFill="1" applyAlignment="1" applyProtection="1">
      <alignment horizontal="center" vertical="center" wrapText="1"/>
      <protection hidden="1"/>
    </xf>
    <xf numFmtId="0" fontId="64" fillId="35" borderId="55" xfId="0" applyFont="1" applyFill="1" applyBorder="1" applyAlignment="1">
      <alignment horizontal="left" vertical="center" wrapText="1" readingOrder="1"/>
    </xf>
    <xf numFmtId="0" fontId="67" fillId="35" borderId="55" xfId="0" applyFont="1" applyFill="1" applyBorder="1" applyAlignment="1">
      <alignment horizontal="center" vertical="center" wrapText="1" readingOrder="1"/>
    </xf>
    <xf numFmtId="0" fontId="16" fillId="34" borderId="36" xfId="2" applyFont="1" applyFill="1" applyBorder="1" applyAlignment="1" applyProtection="1">
      <alignment horizontal="left" vertical="center" wrapText="1"/>
      <protection hidden="1"/>
    </xf>
    <xf numFmtId="1" fontId="0" fillId="34" borderId="3" xfId="2" applyNumberFormat="1" applyFont="1" applyFill="1" applyAlignment="1" applyProtection="1">
      <alignment horizontal="center" vertical="center"/>
      <protection hidden="1"/>
    </xf>
    <xf numFmtId="0" fontId="79" fillId="40" borderId="63" xfId="0" applyFont="1" applyFill="1" applyBorder="1" applyAlignment="1">
      <alignment horizontal="center" vertical="center"/>
    </xf>
    <xf numFmtId="0" fontId="11" fillId="40" borderId="63" xfId="0" applyFont="1" applyFill="1" applyBorder="1" applyAlignment="1">
      <alignment horizontal="center" vertical="center"/>
    </xf>
    <xf numFmtId="0" fontId="80" fillId="40" borderId="63" xfId="0" applyFont="1" applyFill="1" applyBorder="1" applyAlignment="1">
      <alignment horizontal="center" vertical="center"/>
    </xf>
    <xf numFmtId="0" fontId="81" fillId="40" borderId="63" xfId="0" applyFont="1" applyFill="1" applyBorder="1" applyAlignment="1">
      <alignment horizontal="center" vertical="center"/>
    </xf>
    <xf numFmtId="0" fontId="64" fillId="36" borderId="56" xfId="0" applyFont="1" applyFill="1" applyBorder="1" applyAlignment="1">
      <alignment horizontal="left" vertical="center" wrapText="1" readingOrder="1"/>
    </xf>
    <xf numFmtId="0" fontId="67" fillId="36" borderId="56" xfId="0" applyFont="1" applyFill="1" applyBorder="1" applyAlignment="1">
      <alignment horizontal="center" vertical="center" wrapText="1" readingOrder="1"/>
    </xf>
    <xf numFmtId="0" fontId="64" fillId="37" borderId="57" xfId="0" applyFont="1" applyFill="1" applyBorder="1" applyAlignment="1">
      <alignment horizontal="left" vertical="center" wrapText="1" readingOrder="1"/>
    </xf>
    <xf numFmtId="0" fontId="67" fillId="37" borderId="57" xfId="0" applyFont="1" applyFill="1" applyBorder="1" applyAlignment="1">
      <alignment horizontal="center" vertical="center" wrapText="1" readingOrder="1"/>
    </xf>
    <xf numFmtId="0" fontId="64" fillId="38" borderId="58" xfId="0" applyFont="1" applyFill="1" applyBorder="1" applyAlignment="1">
      <alignment horizontal="left" vertical="center" wrapText="1" readingOrder="1"/>
    </xf>
    <xf numFmtId="0" fontId="67" fillId="38" borderId="58" xfId="0" applyFont="1" applyFill="1" applyBorder="1" applyAlignment="1">
      <alignment horizontal="center" vertical="center" wrapText="1" readingOrder="1"/>
    </xf>
    <xf numFmtId="0" fontId="64" fillId="39" borderId="59" xfId="0" applyFont="1" applyFill="1" applyBorder="1" applyAlignment="1">
      <alignment horizontal="left" vertical="center" wrapText="1" readingOrder="1"/>
    </xf>
    <xf numFmtId="0" fontId="67" fillId="41" borderId="60" xfId="0" applyFont="1" applyFill="1" applyBorder="1" applyAlignment="1">
      <alignment horizontal="center" vertical="center" wrapText="1" readingOrder="1"/>
    </xf>
    <xf numFmtId="0" fontId="66" fillId="42" borderId="61" xfId="0" applyFont="1" applyFill="1" applyBorder="1" applyAlignment="1">
      <alignment horizontal="left" vertical="center" wrapText="1" readingOrder="1"/>
    </xf>
    <xf numFmtId="0" fontId="67" fillId="42" borderId="61" xfId="0" applyFont="1" applyFill="1" applyBorder="1" applyAlignment="1">
      <alignment horizontal="center" vertical="center" wrapText="1" readingOrder="1"/>
    </xf>
    <xf numFmtId="0" fontId="67" fillId="43" borderId="62" xfId="0" applyFont="1" applyFill="1" applyBorder="1" applyAlignment="1">
      <alignment horizontal="left" vertical="center" wrapText="1" readingOrder="1"/>
    </xf>
    <xf numFmtId="0" fontId="67" fillId="43" borderId="62" xfId="0" applyFont="1" applyFill="1" applyBorder="1" applyAlignment="1">
      <alignment horizontal="center" vertical="center" wrapText="1" readingOrder="1"/>
    </xf>
    <xf numFmtId="1" fontId="4" fillId="7" borderId="0" xfId="0" applyNumberFormat="1" applyFont="1" applyFill="1" applyAlignment="1" applyProtection="1">
      <alignment horizontal="center" vertical="center" wrapText="1"/>
      <protection hidden="1"/>
    </xf>
    <xf numFmtId="1" fontId="18" fillId="7" borderId="14" xfId="0" applyNumberFormat="1" applyFont="1" applyFill="1" applyBorder="1" applyAlignment="1" applyProtection="1">
      <alignment horizontal="center" vertical="center"/>
      <protection hidden="1"/>
    </xf>
    <xf numFmtId="1" fontId="16" fillId="7" borderId="46" xfId="0" applyNumberFormat="1" applyFont="1" applyFill="1" applyBorder="1" applyAlignment="1" applyProtection="1">
      <alignment horizontal="center" vertical="center"/>
      <protection hidden="1"/>
    </xf>
    <xf numFmtId="0" fontId="49" fillId="7" borderId="55" xfId="0" applyFont="1" applyFill="1" applyBorder="1" applyAlignment="1">
      <alignment horizontal="center" vertical="center" wrapText="1" readingOrder="1"/>
    </xf>
    <xf numFmtId="164" fontId="12" fillId="7" borderId="0" xfId="0" applyNumberFormat="1" applyFont="1" applyFill="1" applyAlignment="1" applyProtection="1">
      <alignment horizontal="center" vertical="center"/>
      <protection hidden="1"/>
    </xf>
    <xf numFmtId="164" fontId="4" fillId="7" borderId="0" xfId="4" applyNumberFormat="1" applyProtection="1">
      <alignment horizontal="center" vertical="center" wrapText="1"/>
      <protection hidden="1"/>
    </xf>
    <xf numFmtId="0" fontId="2" fillId="3" borderId="0" xfId="0" applyFont="1" applyFill="1" applyAlignment="1" applyProtection="1">
      <alignment horizontal="center" vertical="center"/>
      <protection hidden="1"/>
    </xf>
    <xf numFmtId="1" fontId="67" fillId="28" borderId="0" xfId="0" applyNumberFormat="1" applyFont="1" applyFill="1" applyAlignment="1" applyProtection="1">
      <alignment horizontal="center" vertical="center" wrapText="1"/>
      <protection hidden="1"/>
    </xf>
    <xf numFmtId="0" fontId="66" fillId="28" borderId="0" xfId="0" applyFont="1" applyFill="1" applyAlignment="1" applyProtection="1">
      <alignment horizontal="center" vertical="center" wrapText="1"/>
      <protection hidden="1"/>
    </xf>
    <xf numFmtId="0" fontId="17" fillId="3" borderId="0" xfId="0" applyFont="1" applyFill="1" applyAlignment="1" applyProtection="1">
      <alignment horizontal="center" vertical="center"/>
      <protection hidden="1"/>
    </xf>
    <xf numFmtId="0" fontId="2" fillId="0" borderId="0" xfId="0" applyFont="1" applyAlignment="1" applyProtection="1">
      <alignment horizontal="center" vertical="center" wrapText="1"/>
      <protection hidden="1"/>
    </xf>
    <xf numFmtId="0" fontId="68" fillId="0" borderId="0" xfId="0" applyFont="1" applyAlignment="1">
      <alignment vertical="center"/>
    </xf>
    <xf numFmtId="0" fontId="68" fillId="0" borderId="33" xfId="0" applyFont="1" applyBorder="1" applyAlignment="1">
      <alignment vertical="center"/>
    </xf>
    <xf numFmtId="0" fontId="68" fillId="0" borderId="0" xfId="0" applyFont="1" applyAlignment="1">
      <alignment horizontal="left" vertical="center"/>
    </xf>
    <xf numFmtId="0" fontId="68" fillId="0" borderId="33" xfId="0" applyFont="1" applyBorder="1" applyAlignment="1">
      <alignment horizontal="left" vertical="center"/>
    </xf>
    <xf numFmtId="1" fontId="24" fillId="3" borderId="0" xfId="0" applyNumberFormat="1" applyFont="1" applyFill="1" applyAlignment="1" applyProtection="1">
      <alignment horizontal="left" vertical="center" wrapText="1"/>
      <protection hidden="1"/>
    </xf>
    <xf numFmtId="0" fontId="24" fillId="3" borderId="0" xfId="0" applyFont="1" applyFill="1" applyAlignment="1" applyProtection="1">
      <alignment horizontal="left" vertical="center" wrapText="1"/>
      <protection hidden="1"/>
    </xf>
    <xf numFmtId="0" fontId="75" fillId="0" borderId="33" xfId="0" applyFont="1" applyBorder="1" applyAlignment="1">
      <alignment horizontal="left" vertical="center"/>
    </xf>
    <xf numFmtId="0" fontId="71" fillId="29" borderId="0" xfId="0" applyFont="1" applyFill="1" applyAlignment="1">
      <alignment vertical="top" wrapText="1"/>
    </xf>
    <xf numFmtId="1" fontId="4" fillId="7" borderId="39" xfId="4" applyNumberFormat="1" applyBorder="1" applyProtection="1">
      <alignment horizontal="center" vertical="center" wrapText="1"/>
      <protection hidden="1"/>
    </xf>
    <xf numFmtId="164" fontId="4" fillId="7" borderId="39" xfId="4" applyNumberFormat="1" applyBorder="1" applyProtection="1">
      <alignment horizontal="center" vertical="center" wrapText="1"/>
      <protection hidden="1"/>
    </xf>
    <xf numFmtId="0" fontId="72" fillId="0" borderId="0" xfId="0" applyFont="1" applyAlignment="1" applyProtection="1">
      <alignment horizontal="center" vertical="center"/>
      <protection hidden="1"/>
    </xf>
    <xf numFmtId="1" fontId="2" fillId="3" borderId="0" xfId="0" applyNumberFormat="1" applyFont="1" applyFill="1" applyAlignment="1" applyProtection="1">
      <alignment horizontal="center" vertical="center"/>
      <protection hidden="1"/>
    </xf>
    <xf numFmtId="0" fontId="2" fillId="3" borderId="68" xfId="0" applyFont="1" applyFill="1" applyBorder="1" applyAlignment="1" applyProtection="1">
      <alignment vertical="center"/>
      <protection hidden="1"/>
    </xf>
    <xf numFmtId="0" fontId="2" fillId="3" borderId="69" xfId="0" applyFont="1" applyFill="1" applyBorder="1" applyAlignment="1" applyProtection="1">
      <alignment vertical="center"/>
      <protection hidden="1"/>
    </xf>
    <xf numFmtId="1" fontId="67" fillId="43" borderId="62" xfId="0" applyNumberFormat="1" applyFont="1" applyFill="1" applyBorder="1" applyAlignment="1">
      <alignment horizontal="center" vertical="center" wrapText="1" readingOrder="1"/>
    </xf>
    <xf numFmtId="0" fontId="11" fillId="0" borderId="48" xfId="0" applyFont="1" applyBorder="1" applyAlignment="1">
      <alignment horizontal="center" vertical="center"/>
    </xf>
    <xf numFmtId="43" fontId="67" fillId="42" borderId="61" xfId="233" applyFont="1" applyFill="1" applyBorder="1" applyAlignment="1" applyProtection="1">
      <alignment horizontal="center" vertical="center" wrapText="1" readingOrder="1"/>
    </xf>
    <xf numFmtId="1" fontId="67" fillId="42" borderId="61" xfId="0" applyNumberFormat="1" applyFont="1" applyFill="1" applyBorder="1" applyAlignment="1">
      <alignment horizontal="center" vertical="center" wrapText="1" readingOrder="1"/>
    </xf>
    <xf numFmtId="1" fontId="67" fillId="41" borderId="60" xfId="0" applyNumberFormat="1" applyFont="1" applyFill="1" applyBorder="1" applyAlignment="1">
      <alignment horizontal="center" vertical="center" wrapText="1" readingOrder="1"/>
    </xf>
    <xf numFmtId="1" fontId="64" fillId="39" borderId="59" xfId="0" applyNumberFormat="1" applyFont="1" applyFill="1" applyBorder="1" applyAlignment="1">
      <alignment horizontal="left" vertical="center" wrapText="1" readingOrder="1"/>
    </xf>
    <xf numFmtId="1" fontId="67" fillId="38" borderId="58" xfId="0" applyNumberFormat="1" applyFont="1" applyFill="1" applyBorder="1" applyAlignment="1">
      <alignment horizontal="center" vertical="center" wrapText="1" readingOrder="1"/>
    </xf>
    <xf numFmtId="1" fontId="67" fillId="37" borderId="57" xfId="0" applyNumberFormat="1" applyFont="1" applyFill="1" applyBorder="1" applyAlignment="1">
      <alignment horizontal="center" vertical="center" wrapText="1" readingOrder="1"/>
    </xf>
    <xf numFmtId="0" fontId="11" fillId="3" borderId="48" xfId="0" applyFont="1" applyFill="1" applyBorder="1" applyAlignment="1">
      <alignment horizontal="center" vertical="center"/>
    </xf>
    <xf numFmtId="1" fontId="67" fillId="36" borderId="56" xfId="0" applyNumberFormat="1" applyFont="1" applyFill="1" applyBorder="1" applyAlignment="1">
      <alignment horizontal="center" vertical="center" wrapText="1" readingOrder="1"/>
    </xf>
    <xf numFmtId="1" fontId="68" fillId="34" borderId="34" xfId="0" applyNumberFormat="1" applyFont="1" applyFill="1" applyBorder="1" applyAlignment="1" applyProtection="1">
      <alignment horizontal="center" vertical="center"/>
      <protection hidden="1"/>
    </xf>
    <xf numFmtId="1" fontId="68" fillId="34" borderId="34" xfId="0" applyNumberFormat="1" applyFont="1" applyFill="1" applyBorder="1" applyAlignment="1" applyProtection="1">
      <alignment horizontal="center" vertical="center" wrapText="1"/>
      <protection hidden="1"/>
    </xf>
    <xf numFmtId="1" fontId="9" fillId="34" borderId="3" xfId="2" applyNumberFormat="1" applyFill="1" applyAlignment="1" applyProtection="1">
      <alignment horizontal="center" vertical="center"/>
      <protection hidden="1"/>
    </xf>
    <xf numFmtId="1" fontId="0" fillId="34" borderId="35" xfId="2" applyNumberFormat="1" applyFont="1" applyFill="1" applyBorder="1" applyAlignment="1" applyProtection="1">
      <alignment horizontal="center" vertical="center" wrapText="1"/>
      <protection hidden="1"/>
    </xf>
    <xf numFmtId="1" fontId="67" fillId="35" borderId="55" xfId="0" applyNumberFormat="1" applyFont="1" applyFill="1" applyBorder="1" applyAlignment="1">
      <alignment horizontal="center" vertical="center" wrapText="1" readingOrder="1"/>
    </xf>
    <xf numFmtId="164" fontId="0" fillId="3" borderId="6" xfId="0" applyNumberFormat="1" applyFill="1" applyBorder="1" applyAlignment="1" applyProtection="1">
      <alignment horizontal="center" vertical="center"/>
      <protection hidden="1"/>
    </xf>
    <xf numFmtId="0" fontId="11" fillId="3" borderId="48" xfId="0" applyFont="1" applyFill="1" applyBorder="1" applyAlignment="1" applyProtection="1">
      <alignment horizontal="center" vertical="center"/>
      <protection locked="0"/>
    </xf>
    <xf numFmtId="164" fontId="4" fillId="7" borderId="39" xfId="4" applyNumberFormat="1" applyBorder="1">
      <alignment horizontal="center" vertical="center" wrapText="1"/>
      <protection locked="0"/>
    </xf>
    <xf numFmtId="0" fontId="4" fillId="7" borderId="39" xfId="4" applyBorder="1" applyAlignment="1">
      <alignment horizontal="left" vertical="center" wrapText="1"/>
      <protection locked="0"/>
    </xf>
    <xf numFmtId="0" fontId="11" fillId="0" borderId="48" xfId="0" applyFont="1" applyBorder="1" applyAlignment="1" applyProtection="1">
      <alignment horizontal="center" vertical="center"/>
      <protection locked="0"/>
    </xf>
    <xf numFmtId="0" fontId="67" fillId="41" borderId="60" xfId="0" applyFont="1" applyFill="1" applyBorder="1" applyAlignment="1" applyProtection="1">
      <alignment horizontal="center" vertical="center" wrapText="1" readingOrder="1"/>
      <protection locked="0"/>
    </xf>
    <xf numFmtId="43" fontId="67" fillId="42" borderId="61" xfId="233" applyFont="1" applyFill="1" applyBorder="1" applyAlignment="1" applyProtection="1">
      <alignment horizontal="center" vertical="center" wrapText="1" readingOrder="1"/>
      <protection locked="0"/>
    </xf>
    <xf numFmtId="0" fontId="79" fillId="40" borderId="63" xfId="0" applyFont="1" applyFill="1" applyBorder="1" applyAlignment="1" applyProtection="1">
      <alignment horizontal="center" vertical="center"/>
      <protection locked="0"/>
    </xf>
    <xf numFmtId="164" fontId="102" fillId="9" borderId="0" xfId="0" applyNumberFormat="1" applyFont="1" applyFill="1" applyAlignment="1" applyProtection="1">
      <alignment horizontal="center" vertical="center" wrapText="1"/>
      <protection hidden="1"/>
    </xf>
    <xf numFmtId="0" fontId="94" fillId="3" borderId="0" xfId="0" applyFont="1" applyFill="1" applyAlignment="1" applyProtection="1">
      <alignment horizontal="left" wrapText="1"/>
      <protection locked="0" hidden="1"/>
    </xf>
    <xf numFmtId="0" fontId="95" fillId="3" borderId="0" xfId="0" applyFont="1" applyFill="1" applyAlignment="1" applyProtection="1">
      <alignment horizontal="left" wrapText="1"/>
      <protection locked="0" hidden="1"/>
    </xf>
    <xf numFmtId="0" fontId="73" fillId="0" borderId="0" xfId="0" applyFont="1" applyAlignment="1" applyProtection="1">
      <alignment horizontal="center" vertical="center"/>
      <protection locked="0"/>
    </xf>
    <xf numFmtId="0" fontId="73" fillId="0" borderId="33" xfId="0" applyFont="1" applyBorder="1" applyAlignment="1" applyProtection="1">
      <alignment horizontal="center" vertical="center"/>
      <protection locked="0"/>
    </xf>
    <xf numFmtId="0" fontId="73" fillId="32" borderId="45" xfId="0" applyFont="1" applyFill="1" applyBorder="1" applyAlignment="1" applyProtection="1">
      <alignment horizontal="center" vertical="center"/>
      <protection locked="0"/>
    </xf>
    <xf numFmtId="0" fontId="73" fillId="32" borderId="44" xfId="0" applyFont="1" applyFill="1" applyBorder="1" applyAlignment="1" applyProtection="1">
      <alignment horizontal="center" vertical="center"/>
      <protection locked="0"/>
    </xf>
    <xf numFmtId="0" fontId="46" fillId="0" borderId="46" xfId="2" applyFont="1" applyFill="1" applyBorder="1" applyAlignment="1" applyProtection="1">
      <alignment horizontal="center" vertical="center" wrapText="1"/>
      <protection locked="0" hidden="1"/>
    </xf>
    <xf numFmtId="0" fontId="46" fillId="0" borderId="54" xfId="2" applyFont="1" applyFill="1" applyBorder="1" applyAlignment="1" applyProtection="1">
      <alignment horizontal="center" vertical="center" wrapText="1"/>
      <protection locked="0" hidden="1"/>
    </xf>
    <xf numFmtId="0" fontId="78" fillId="0" borderId="0" xfId="0" applyFont="1" applyAlignment="1">
      <alignment horizontal="center" vertical="center" wrapText="1"/>
    </xf>
    <xf numFmtId="0" fontId="78" fillId="0" borderId="48" xfId="0" applyFont="1" applyBorder="1" applyAlignment="1">
      <alignment horizontal="center" vertical="center" wrapText="1"/>
    </xf>
    <xf numFmtId="0" fontId="78" fillId="0" borderId="47" xfId="0" applyFont="1" applyBorder="1" applyAlignment="1">
      <alignment horizontal="center" vertical="center" wrapText="1"/>
    </xf>
    <xf numFmtId="0" fontId="78" fillId="0" borderId="46" xfId="0" applyFont="1" applyBorder="1" applyAlignment="1">
      <alignment horizontal="center" vertical="center" wrapText="1"/>
    </xf>
    <xf numFmtId="0" fontId="14" fillId="45" borderId="65" xfId="220" applyNumberFormat="1" applyFont="1" applyFill="1" applyBorder="1" applyAlignment="1" applyProtection="1">
      <alignment horizontal="center" vertical="center"/>
      <protection hidden="1"/>
    </xf>
    <xf numFmtId="0" fontId="14" fillId="45" borderId="66" xfId="220" applyNumberFormat="1" applyFont="1" applyFill="1" applyBorder="1" applyAlignment="1" applyProtection="1">
      <alignment horizontal="center" vertical="center"/>
      <protection hidden="1"/>
    </xf>
    <xf numFmtId="0" fontId="82" fillId="34" borderId="52" xfId="0" applyFont="1" applyFill="1" applyBorder="1" applyAlignment="1">
      <alignment vertical="top" wrapText="1"/>
    </xf>
    <xf numFmtId="0" fontId="71" fillId="34" borderId="52" xfId="0" applyFont="1" applyFill="1" applyBorder="1" applyAlignment="1">
      <alignment vertical="top" wrapText="1"/>
    </xf>
    <xf numFmtId="0" fontId="71" fillId="34" borderId="64" xfId="0" applyFont="1" applyFill="1" applyBorder="1" applyAlignment="1">
      <alignment vertical="top" wrapText="1"/>
    </xf>
    <xf numFmtId="0" fontId="82" fillId="34" borderId="51" xfId="0" applyFont="1" applyFill="1" applyBorder="1" applyAlignment="1">
      <alignment vertical="top" wrapText="1"/>
    </xf>
    <xf numFmtId="0" fontId="71" fillId="29" borderId="0" xfId="0" applyFont="1" applyFill="1" applyAlignment="1" applyProtection="1">
      <alignment vertical="top" wrapText="1"/>
      <protection locked="0"/>
    </xf>
    <xf numFmtId="0" fontId="14" fillId="45" borderId="51" xfId="220" applyNumberFormat="1" applyFont="1" applyFill="1" applyBorder="1" applyAlignment="1" applyProtection="1">
      <alignment horizontal="center" vertical="center"/>
      <protection hidden="1"/>
    </xf>
    <xf numFmtId="0" fontId="14" fillId="45" borderId="53" xfId="220" applyNumberFormat="1" applyFont="1" applyFill="1" applyBorder="1" applyAlignment="1" applyProtection="1">
      <alignment horizontal="center" vertical="center"/>
      <protection hidden="1"/>
    </xf>
    <xf numFmtId="0" fontId="71" fillId="0" borderId="0" xfId="0" applyFont="1" applyAlignment="1">
      <alignment vertical="top" wrapText="1"/>
    </xf>
    <xf numFmtId="0" fontId="71" fillId="34" borderId="48" xfId="0" applyFont="1" applyFill="1" applyBorder="1" applyAlignment="1">
      <alignment vertical="top" wrapText="1"/>
    </xf>
    <xf numFmtId="0" fontId="71" fillId="34" borderId="47" xfId="0" applyFont="1" applyFill="1" applyBorder="1" applyAlignment="1">
      <alignment vertical="top" wrapText="1"/>
    </xf>
    <xf numFmtId="0" fontId="71" fillId="34" borderId="46" xfId="0" applyFont="1" applyFill="1" applyBorder="1" applyAlignment="1">
      <alignment vertical="top" wrapText="1"/>
    </xf>
    <xf numFmtId="0" fontId="94" fillId="3" borderId="0" xfId="0" applyFont="1" applyFill="1" applyAlignment="1" applyProtection="1">
      <alignment horizontal="left" wrapText="1"/>
      <protection hidden="1"/>
    </xf>
    <xf numFmtId="0" fontId="95" fillId="3" borderId="0" xfId="0" applyFont="1" applyFill="1" applyAlignment="1" applyProtection="1">
      <alignment horizontal="left" wrapText="1"/>
      <protection hidden="1"/>
    </xf>
    <xf numFmtId="0" fontId="17" fillId="0" borderId="13" xfId="0" applyFont="1" applyBorder="1" applyAlignment="1" applyProtection="1">
      <alignment horizontal="center" vertical="center" wrapText="1"/>
      <protection hidden="1"/>
    </xf>
    <xf numFmtId="0" fontId="16" fillId="24" borderId="38" xfId="2" applyFont="1" applyFill="1" applyBorder="1" applyAlignment="1" applyProtection="1">
      <alignment horizontal="left" vertical="center" wrapText="1"/>
      <protection hidden="1"/>
    </xf>
    <xf numFmtId="0" fontId="16" fillId="24" borderId="40" xfId="2" applyFont="1" applyFill="1" applyBorder="1" applyAlignment="1" applyProtection="1">
      <alignment horizontal="left" vertical="center" wrapText="1"/>
      <protection hidden="1"/>
    </xf>
    <xf numFmtId="0" fontId="0" fillId="3" borderId="11" xfId="0" applyFill="1" applyBorder="1" applyAlignment="1" applyProtection="1">
      <alignment horizontal="left" vertical="center" wrapText="1"/>
      <protection locked="0" hidden="1"/>
    </xf>
    <xf numFmtId="0" fontId="0" fillId="3" borderId="27" xfId="0" applyFill="1" applyBorder="1" applyAlignment="1" applyProtection="1">
      <alignment horizontal="left" vertical="center" wrapText="1"/>
      <protection locked="0" hidden="1"/>
    </xf>
    <xf numFmtId="0" fontId="16" fillId="24" borderId="37" xfId="2" applyFont="1" applyFill="1" applyBorder="1" applyAlignment="1" applyProtection="1">
      <alignment horizontal="left" vertical="center" wrapText="1"/>
      <protection hidden="1"/>
    </xf>
    <xf numFmtId="0" fontId="16" fillId="24" borderId="49" xfId="2" applyFont="1" applyFill="1" applyBorder="1" applyAlignment="1" applyProtection="1">
      <alignment horizontal="left" vertical="center" wrapText="1"/>
      <protection hidden="1"/>
    </xf>
    <xf numFmtId="0" fontId="0" fillId="24" borderId="37" xfId="2" applyFont="1" applyFill="1" applyBorder="1" applyAlignment="1" applyProtection="1">
      <alignment horizontal="left" vertical="center" wrapText="1"/>
      <protection hidden="1"/>
    </xf>
    <xf numFmtId="0" fontId="16" fillId="4" borderId="40" xfId="2" applyFont="1" applyBorder="1" applyAlignment="1" applyProtection="1">
      <alignment horizontal="left" vertical="center" wrapText="1"/>
      <protection hidden="1"/>
    </xf>
    <xf numFmtId="0" fontId="16" fillId="4" borderId="41" xfId="2" applyFont="1" applyBorder="1" applyAlignment="1" applyProtection="1">
      <alignment horizontal="left" vertical="center" wrapText="1"/>
      <protection hidden="1"/>
    </xf>
    <xf numFmtId="0" fontId="0" fillId="4" borderId="39" xfId="2" applyFont="1" applyBorder="1" applyAlignment="1" applyProtection="1">
      <alignment horizontal="center" vertical="center" wrapText="1"/>
      <protection hidden="1"/>
    </xf>
    <xf numFmtId="0" fontId="0" fillId="4" borderId="35" xfId="2" applyFont="1" applyBorder="1" applyAlignment="1" applyProtection="1">
      <alignment horizontal="center" vertical="center" wrapText="1"/>
      <protection hidden="1"/>
    </xf>
    <xf numFmtId="0" fontId="16" fillId="4" borderId="38" xfId="2" applyFont="1" applyBorder="1" applyAlignment="1" applyProtection="1">
      <alignment horizontal="left" vertical="center" wrapText="1"/>
      <protection hidden="1"/>
    </xf>
    <xf numFmtId="0" fontId="0" fillId="4" borderId="3" xfId="2" applyFont="1" applyAlignment="1" applyProtection="1">
      <alignment horizontal="left" vertical="center" wrapText="1"/>
      <protection hidden="1"/>
    </xf>
    <xf numFmtId="0" fontId="43" fillId="0" borderId="0" xfId="0" applyFont="1" applyAlignment="1" applyProtection="1">
      <alignment horizontal="left" wrapText="1"/>
      <protection hidden="1"/>
    </xf>
    <xf numFmtId="0" fontId="44" fillId="0" borderId="0" xfId="0" applyFont="1" applyAlignment="1" applyProtection="1">
      <alignment horizontal="left" wrapText="1"/>
      <protection hidden="1"/>
    </xf>
    <xf numFmtId="1" fontId="46" fillId="4" borderId="52" xfId="2" applyNumberFormat="1" applyFont="1" applyBorder="1" applyAlignment="1" applyProtection="1">
      <alignment horizontal="left" vertical="center" wrapText="1"/>
      <protection hidden="1"/>
    </xf>
    <xf numFmtId="0" fontId="46" fillId="4" borderId="53" xfId="2" applyFont="1" applyBorder="1" applyAlignment="1" applyProtection="1">
      <alignment horizontal="left" vertical="center" wrapText="1"/>
      <protection hidden="1"/>
    </xf>
    <xf numFmtId="0" fontId="15" fillId="4" borderId="16" xfId="2" applyFont="1" applyBorder="1" applyAlignment="1" applyProtection="1">
      <alignment horizontal="left" vertical="center" wrapText="1"/>
      <protection hidden="1"/>
    </xf>
    <xf numFmtId="0" fontId="15" fillId="4" borderId="15" xfId="2" applyFont="1" applyBorder="1" applyAlignment="1" applyProtection="1">
      <alignment horizontal="left" vertical="center" wrapText="1"/>
      <protection hidden="1"/>
    </xf>
    <xf numFmtId="0" fontId="0" fillId="6" borderId="35" xfId="2" applyFont="1" applyFill="1" applyBorder="1" applyAlignment="1" applyProtection="1">
      <alignment horizontal="left" vertical="center" wrapText="1"/>
      <protection hidden="1"/>
    </xf>
    <xf numFmtId="0" fontId="0" fillId="6" borderId="3" xfId="2" applyFont="1" applyFill="1" applyAlignment="1" applyProtection="1">
      <alignment horizontal="left" vertical="center" wrapText="1"/>
      <protection hidden="1"/>
    </xf>
    <xf numFmtId="0" fontId="16" fillId="4" borderId="42" xfId="2" applyFont="1" applyBorder="1" applyAlignment="1" applyProtection="1">
      <alignment horizontal="left" vertical="center" wrapText="1"/>
      <protection hidden="1"/>
    </xf>
    <xf numFmtId="0" fontId="0" fillId="4" borderId="39" xfId="2" applyFont="1" applyBorder="1" applyAlignment="1" applyProtection="1">
      <alignment horizontal="left" vertical="center" wrapText="1"/>
      <protection hidden="1"/>
    </xf>
    <xf numFmtId="0" fontId="0" fillId="4" borderId="0" xfId="2" applyFont="1" applyBorder="1" applyAlignment="1" applyProtection="1">
      <alignment horizontal="left" vertical="center" wrapText="1"/>
      <protection hidden="1"/>
    </xf>
    <xf numFmtId="0" fontId="0" fillId="4" borderId="35" xfId="2" applyFont="1" applyBorder="1" applyAlignment="1" applyProtection="1">
      <alignment horizontal="left" vertical="center" wrapText="1"/>
      <protection hidden="1"/>
    </xf>
    <xf numFmtId="0" fontId="0" fillId="0" borderId="36" xfId="2" applyFont="1" applyFill="1" applyBorder="1" applyAlignment="1" applyProtection="1">
      <alignment horizontal="left" vertical="center" wrapText="1"/>
      <protection locked="0" hidden="1"/>
    </xf>
    <xf numFmtId="0" fontId="9" fillId="0" borderId="49" xfId="2" applyFill="1" applyBorder="1" applyAlignment="1" applyProtection="1">
      <alignment horizontal="left" vertical="center" wrapText="1"/>
      <protection locked="0" hidden="1"/>
    </xf>
    <xf numFmtId="0" fontId="5" fillId="2" borderId="0" xfId="0" applyFont="1" applyFill="1" applyAlignment="1" applyProtection="1">
      <alignment horizontal="left" vertical="center" wrapText="1"/>
      <protection hidden="1"/>
    </xf>
    <xf numFmtId="0" fontId="16" fillId="24" borderId="41" xfId="2" applyFont="1" applyFill="1" applyBorder="1" applyAlignment="1" applyProtection="1">
      <alignment horizontal="left" vertical="center" wrapText="1"/>
      <protection hidden="1"/>
    </xf>
    <xf numFmtId="0" fontId="0" fillId="3" borderId="36" xfId="0" applyFill="1" applyBorder="1" applyAlignment="1" applyProtection="1">
      <alignment horizontal="left" vertical="center" wrapText="1"/>
      <protection locked="0" hidden="1"/>
    </xf>
    <xf numFmtId="0" fontId="0" fillId="3" borderId="37" xfId="0" applyFill="1" applyBorder="1" applyAlignment="1" applyProtection="1">
      <alignment horizontal="left" vertical="center" wrapText="1"/>
      <protection locked="0" hidden="1"/>
    </xf>
    <xf numFmtId="0" fontId="0" fillId="3" borderId="49" xfId="0" applyFill="1" applyBorder="1" applyAlignment="1" applyProtection="1">
      <alignment horizontal="left" vertical="center" wrapText="1"/>
      <protection locked="0" hidden="1"/>
    </xf>
    <xf numFmtId="0" fontId="16" fillId="4" borderId="36" xfId="2" applyFont="1" applyBorder="1" applyAlignment="1" applyProtection="1">
      <alignment horizontal="left" vertical="center" wrapText="1"/>
      <protection hidden="1"/>
    </xf>
    <xf numFmtId="0" fontId="16" fillId="4" borderId="37" xfId="2" applyFont="1" applyBorder="1" applyAlignment="1" applyProtection="1">
      <alignment horizontal="left" vertical="center" wrapText="1"/>
      <protection hidden="1"/>
    </xf>
    <xf numFmtId="0" fontId="16" fillId="4" borderId="49" xfId="2" applyFont="1" applyBorder="1" applyAlignment="1" applyProtection="1">
      <alignment horizontal="left" vertical="center" wrapText="1"/>
      <protection hidden="1"/>
    </xf>
    <xf numFmtId="0" fontId="5" fillId="2" borderId="35" xfId="0" applyFont="1" applyFill="1" applyBorder="1" applyAlignment="1" applyProtection="1">
      <alignment horizontal="left" vertical="center" wrapText="1"/>
      <protection hidden="1"/>
    </xf>
    <xf numFmtId="0" fontId="9" fillId="4" borderId="0" xfId="2" applyBorder="1" applyAlignment="1" applyProtection="1">
      <alignment horizontal="left" vertical="center" wrapText="1"/>
      <protection hidden="1"/>
    </xf>
    <xf numFmtId="0" fontId="9" fillId="4" borderId="35" xfId="2" applyBorder="1" applyAlignment="1" applyProtection="1">
      <alignment horizontal="left" vertical="center" wrapText="1"/>
      <protection hidden="1"/>
    </xf>
    <xf numFmtId="0" fontId="9" fillId="4" borderId="1" xfId="2" applyBorder="1" applyAlignment="1" applyProtection="1">
      <alignment horizontal="center" vertical="center" wrapText="1"/>
      <protection hidden="1"/>
    </xf>
    <xf numFmtId="0" fontId="9" fillId="0" borderId="36" xfId="2" applyFill="1" applyBorder="1" applyAlignment="1" applyProtection="1">
      <alignment horizontal="left" vertical="center" wrapText="1"/>
      <protection locked="0" hidden="1"/>
    </xf>
    <xf numFmtId="0" fontId="9" fillId="4" borderId="39" xfId="2" applyBorder="1" applyAlignment="1" applyProtection="1">
      <alignment horizontal="left" vertical="center" wrapText="1"/>
      <protection hidden="1"/>
    </xf>
    <xf numFmtId="0" fontId="4" fillId="2" borderId="0" xfId="0" applyFont="1" applyFill="1" applyAlignment="1" applyProtection="1">
      <alignment horizontal="left" vertical="center" wrapText="1"/>
      <protection hidden="1"/>
    </xf>
    <xf numFmtId="0" fontId="16" fillId="24" borderId="36" xfId="2" applyFont="1" applyFill="1" applyBorder="1" applyAlignment="1" applyProtection="1">
      <alignment horizontal="left" vertical="center" wrapText="1"/>
      <protection hidden="1"/>
    </xf>
    <xf numFmtId="0" fontId="22" fillId="0" borderId="13" xfId="0" applyFont="1" applyBorder="1" applyAlignment="1" applyProtection="1">
      <alignment horizontal="center" vertical="center" wrapText="1"/>
      <protection hidden="1"/>
    </xf>
    <xf numFmtId="0" fontId="61" fillId="0" borderId="0" xfId="0" applyFont="1" applyAlignment="1" applyProtection="1">
      <alignment horizontal="left" wrapText="1"/>
      <protection hidden="1"/>
    </xf>
    <xf numFmtId="0" fontId="0" fillId="0" borderId="0" xfId="0" applyAlignment="1">
      <alignment horizontal="left" wrapText="1"/>
    </xf>
    <xf numFmtId="49" fontId="54" fillId="24" borderId="40" xfId="0" applyNumberFormat="1" applyFont="1" applyFill="1" applyBorder="1" applyAlignment="1">
      <alignment horizontal="left" vertical="top" wrapText="1"/>
    </xf>
    <xf numFmtId="49" fontId="54" fillId="24" borderId="39" xfId="0" applyNumberFormat="1" applyFont="1" applyFill="1" applyBorder="1" applyAlignment="1">
      <alignment horizontal="left" vertical="top" wrapText="1"/>
    </xf>
    <xf numFmtId="49" fontId="54" fillId="24" borderId="9" xfId="0" applyNumberFormat="1" applyFont="1" applyFill="1" applyBorder="1" applyAlignment="1">
      <alignment horizontal="left" vertical="top" wrapText="1"/>
    </xf>
    <xf numFmtId="49" fontId="54" fillId="24" borderId="41" xfId="0" applyNumberFormat="1" applyFont="1" applyFill="1" applyBorder="1" applyAlignment="1">
      <alignment horizontal="left" vertical="top" wrapText="1"/>
    </xf>
    <xf numFmtId="49" fontId="54" fillId="24" borderId="35" xfId="0" applyNumberFormat="1" applyFont="1" applyFill="1" applyBorder="1" applyAlignment="1">
      <alignment horizontal="left" vertical="top" wrapText="1"/>
    </xf>
    <xf numFmtId="49" fontId="54" fillId="24" borderId="5" xfId="0" applyNumberFormat="1" applyFont="1" applyFill="1" applyBorder="1" applyAlignment="1">
      <alignment horizontal="left" vertical="top" wrapText="1"/>
    </xf>
  </cellXfs>
  <cellStyles count="237">
    <cellStyle name="20% - Accent1" xfId="2" builtinId="30" customBuiltin="1"/>
    <cellStyle name="20% - Accent1 2" xfId="9" xr:uid="{00000000-0005-0000-0000-000001000000}"/>
    <cellStyle name="20% - Accent1 2 2" xfId="10" xr:uid="{00000000-0005-0000-0000-000002000000}"/>
    <cellStyle name="20% - Accent1 2 3" xfId="11" xr:uid="{00000000-0005-0000-0000-000003000000}"/>
    <cellStyle name="20% - Accent1 2 4" xfId="12" xr:uid="{00000000-0005-0000-0000-000004000000}"/>
    <cellStyle name="20% - Accent1 2 5" xfId="13" xr:uid="{00000000-0005-0000-0000-000005000000}"/>
    <cellStyle name="20% - Accent2 2" xfId="14" xr:uid="{00000000-0005-0000-0000-000006000000}"/>
    <cellStyle name="20% - Accent2 2 2" xfId="15" xr:uid="{00000000-0005-0000-0000-000007000000}"/>
    <cellStyle name="20% - Accent2 2 3" xfId="16" xr:uid="{00000000-0005-0000-0000-000008000000}"/>
    <cellStyle name="20% - Accent2 2 4" xfId="17" xr:uid="{00000000-0005-0000-0000-000009000000}"/>
    <cellStyle name="20% - Accent2 2 5" xfId="18" xr:uid="{00000000-0005-0000-0000-00000A000000}"/>
    <cellStyle name="20% - Accent3 2" xfId="19" xr:uid="{00000000-0005-0000-0000-00000B000000}"/>
    <cellStyle name="20% - Accent3 2 2" xfId="20" xr:uid="{00000000-0005-0000-0000-00000C000000}"/>
    <cellStyle name="20% - Accent3 2 3" xfId="21" xr:uid="{00000000-0005-0000-0000-00000D000000}"/>
    <cellStyle name="20% - Accent3 2 4" xfId="22" xr:uid="{00000000-0005-0000-0000-00000E000000}"/>
    <cellStyle name="20% - Accent3 2 5" xfId="23" xr:uid="{00000000-0005-0000-0000-00000F000000}"/>
    <cellStyle name="20% - Accent4 2" xfId="24" xr:uid="{00000000-0005-0000-0000-000010000000}"/>
    <cellStyle name="20% - Accent4 2 2" xfId="25" xr:uid="{00000000-0005-0000-0000-000011000000}"/>
    <cellStyle name="20% - Accent4 2 3" xfId="26" xr:uid="{00000000-0005-0000-0000-000012000000}"/>
    <cellStyle name="20% - Accent4 2 4" xfId="27" xr:uid="{00000000-0005-0000-0000-000013000000}"/>
    <cellStyle name="20% - Accent4 2 5" xfId="28" xr:uid="{00000000-0005-0000-0000-000014000000}"/>
    <cellStyle name="20% - Accent5 2" xfId="29" xr:uid="{00000000-0005-0000-0000-000015000000}"/>
    <cellStyle name="20% - Accent5 2 2" xfId="30" xr:uid="{00000000-0005-0000-0000-000016000000}"/>
    <cellStyle name="20% - Accent5 2 3" xfId="31" xr:uid="{00000000-0005-0000-0000-000017000000}"/>
    <cellStyle name="20% - Accent5 2 4" xfId="32" xr:uid="{00000000-0005-0000-0000-000018000000}"/>
    <cellStyle name="20% - Accent5 2 5" xfId="33" xr:uid="{00000000-0005-0000-0000-000019000000}"/>
    <cellStyle name="20% - Accent6 2" xfId="34" xr:uid="{00000000-0005-0000-0000-00001A000000}"/>
    <cellStyle name="20% - Accent6 2 2" xfId="35" xr:uid="{00000000-0005-0000-0000-00001B000000}"/>
    <cellStyle name="20% - Accent6 2 3" xfId="36" xr:uid="{00000000-0005-0000-0000-00001C000000}"/>
    <cellStyle name="20% - Accent6 2 4" xfId="37" xr:uid="{00000000-0005-0000-0000-00001D000000}"/>
    <cellStyle name="20% - Accent6 2 5" xfId="38" xr:uid="{00000000-0005-0000-0000-00001E000000}"/>
    <cellStyle name="40% - Accent1 2" xfId="39" xr:uid="{00000000-0005-0000-0000-00001F000000}"/>
    <cellStyle name="40% - Accent1 2 2" xfId="40" xr:uid="{00000000-0005-0000-0000-000020000000}"/>
    <cellStyle name="40% - Accent1 2 3" xfId="41" xr:uid="{00000000-0005-0000-0000-000021000000}"/>
    <cellStyle name="40% - Accent1 2 4" xfId="42" xr:uid="{00000000-0005-0000-0000-000022000000}"/>
    <cellStyle name="40% - Accent1 2 5" xfId="43" xr:uid="{00000000-0005-0000-0000-000023000000}"/>
    <cellStyle name="40% - Accent2 2" xfId="44" xr:uid="{00000000-0005-0000-0000-000024000000}"/>
    <cellStyle name="40% - Accent2 2 2" xfId="45" xr:uid="{00000000-0005-0000-0000-000025000000}"/>
    <cellStyle name="40% - Accent2 2 3" xfId="46" xr:uid="{00000000-0005-0000-0000-000026000000}"/>
    <cellStyle name="40% - Accent2 2 4" xfId="47" xr:uid="{00000000-0005-0000-0000-000027000000}"/>
    <cellStyle name="40% - Accent2 2 5" xfId="48" xr:uid="{00000000-0005-0000-0000-000028000000}"/>
    <cellStyle name="40% - Accent3 2" xfId="49" xr:uid="{00000000-0005-0000-0000-000029000000}"/>
    <cellStyle name="40% - Accent3 2 2" xfId="50" xr:uid="{00000000-0005-0000-0000-00002A000000}"/>
    <cellStyle name="40% - Accent3 2 3" xfId="51" xr:uid="{00000000-0005-0000-0000-00002B000000}"/>
    <cellStyle name="40% - Accent3 2 4" xfId="52" xr:uid="{00000000-0005-0000-0000-00002C000000}"/>
    <cellStyle name="40% - Accent3 2 5" xfId="53" xr:uid="{00000000-0005-0000-0000-00002D000000}"/>
    <cellStyle name="40% - Accent4 2" xfId="54" xr:uid="{00000000-0005-0000-0000-00002E000000}"/>
    <cellStyle name="40% - Accent4 2 2" xfId="55" xr:uid="{00000000-0005-0000-0000-00002F000000}"/>
    <cellStyle name="40% - Accent4 2 3" xfId="56" xr:uid="{00000000-0005-0000-0000-000030000000}"/>
    <cellStyle name="40% - Accent4 2 4" xfId="57" xr:uid="{00000000-0005-0000-0000-000031000000}"/>
    <cellStyle name="40% - Accent4 2 5" xfId="58" xr:uid="{00000000-0005-0000-0000-000032000000}"/>
    <cellStyle name="40% - Accent5 2" xfId="59" xr:uid="{00000000-0005-0000-0000-000033000000}"/>
    <cellStyle name="40% - Accent5 2 2" xfId="60" xr:uid="{00000000-0005-0000-0000-000034000000}"/>
    <cellStyle name="40% - Accent5 2 3" xfId="61" xr:uid="{00000000-0005-0000-0000-000035000000}"/>
    <cellStyle name="40% - Accent5 2 4" xfId="62" xr:uid="{00000000-0005-0000-0000-000036000000}"/>
    <cellStyle name="40% - Accent5 2 5" xfId="63" xr:uid="{00000000-0005-0000-0000-000037000000}"/>
    <cellStyle name="40% - Accent6 2" xfId="64" xr:uid="{00000000-0005-0000-0000-000038000000}"/>
    <cellStyle name="40% - Accent6 2 2" xfId="65" xr:uid="{00000000-0005-0000-0000-000039000000}"/>
    <cellStyle name="40% - Accent6 2 3" xfId="66" xr:uid="{00000000-0005-0000-0000-00003A000000}"/>
    <cellStyle name="40% - Accent6 2 4" xfId="67" xr:uid="{00000000-0005-0000-0000-00003B000000}"/>
    <cellStyle name="40% - Accent6 2 5" xfId="68" xr:uid="{00000000-0005-0000-0000-00003C000000}"/>
    <cellStyle name="60% - Accent1 2" xfId="69" xr:uid="{00000000-0005-0000-0000-00003D000000}"/>
    <cellStyle name="60% - Accent1 2 2" xfId="70" xr:uid="{00000000-0005-0000-0000-00003E000000}"/>
    <cellStyle name="60% - Accent1 2 3" xfId="71" xr:uid="{00000000-0005-0000-0000-00003F000000}"/>
    <cellStyle name="60% - Accent1 2 4" xfId="72" xr:uid="{00000000-0005-0000-0000-000040000000}"/>
    <cellStyle name="60% - Accent1 2 5" xfId="73" xr:uid="{00000000-0005-0000-0000-000041000000}"/>
    <cellStyle name="60% - Accent2" xfId="3" builtinId="36"/>
    <cellStyle name="60% - Accent2 2" xfId="74" xr:uid="{00000000-0005-0000-0000-000043000000}"/>
    <cellStyle name="60% - Accent2 2 2" xfId="75" xr:uid="{00000000-0005-0000-0000-000044000000}"/>
    <cellStyle name="60% - Accent2 2 3" xfId="76" xr:uid="{00000000-0005-0000-0000-000045000000}"/>
    <cellStyle name="60% - Accent2 2 4" xfId="77" xr:uid="{00000000-0005-0000-0000-000046000000}"/>
    <cellStyle name="60% - Accent2 2 5" xfId="78" xr:uid="{00000000-0005-0000-0000-000047000000}"/>
    <cellStyle name="60% - Accent3 2" xfId="79" xr:uid="{00000000-0005-0000-0000-000048000000}"/>
    <cellStyle name="60% - Accent3 2 2" xfId="80" xr:uid="{00000000-0005-0000-0000-000049000000}"/>
    <cellStyle name="60% - Accent3 2 3" xfId="81" xr:uid="{00000000-0005-0000-0000-00004A000000}"/>
    <cellStyle name="60% - Accent3 2 4" xfId="82" xr:uid="{00000000-0005-0000-0000-00004B000000}"/>
    <cellStyle name="60% - Accent3 2 5" xfId="83" xr:uid="{00000000-0005-0000-0000-00004C000000}"/>
    <cellStyle name="60% - Accent4 2" xfId="84" xr:uid="{00000000-0005-0000-0000-00004D000000}"/>
    <cellStyle name="60% - Accent4 2 2" xfId="85" xr:uid="{00000000-0005-0000-0000-00004E000000}"/>
    <cellStyle name="60% - Accent4 2 3" xfId="86" xr:uid="{00000000-0005-0000-0000-00004F000000}"/>
    <cellStyle name="60% - Accent4 2 4" xfId="87" xr:uid="{00000000-0005-0000-0000-000050000000}"/>
    <cellStyle name="60% - Accent4 2 5" xfId="88" xr:uid="{00000000-0005-0000-0000-000051000000}"/>
    <cellStyle name="60% - Accent5 2" xfId="89" xr:uid="{00000000-0005-0000-0000-000052000000}"/>
    <cellStyle name="60% - Accent5 2 2" xfId="90" xr:uid="{00000000-0005-0000-0000-000053000000}"/>
    <cellStyle name="60% - Accent5 2 3" xfId="91" xr:uid="{00000000-0005-0000-0000-000054000000}"/>
    <cellStyle name="60% - Accent5 2 4" xfId="92" xr:uid="{00000000-0005-0000-0000-000055000000}"/>
    <cellStyle name="60% - Accent5 2 5" xfId="93" xr:uid="{00000000-0005-0000-0000-000056000000}"/>
    <cellStyle name="60% - Accent6 2" xfId="94" xr:uid="{00000000-0005-0000-0000-000057000000}"/>
    <cellStyle name="60% - Accent6 2 2" xfId="95" xr:uid="{00000000-0005-0000-0000-000058000000}"/>
    <cellStyle name="60% - Accent6 2 3" xfId="96" xr:uid="{00000000-0005-0000-0000-000059000000}"/>
    <cellStyle name="60% - Accent6 2 4" xfId="97" xr:uid="{00000000-0005-0000-0000-00005A000000}"/>
    <cellStyle name="60% - Accent6 2 5" xfId="98" xr:uid="{00000000-0005-0000-0000-00005B000000}"/>
    <cellStyle name="Accent1 2" xfId="99" xr:uid="{00000000-0005-0000-0000-00005C000000}"/>
    <cellStyle name="Accent1 2 2" xfId="100" xr:uid="{00000000-0005-0000-0000-00005D000000}"/>
    <cellStyle name="Accent1 2 3" xfId="101" xr:uid="{00000000-0005-0000-0000-00005E000000}"/>
    <cellStyle name="Accent1 2 4" xfId="102" xr:uid="{00000000-0005-0000-0000-00005F000000}"/>
    <cellStyle name="Accent1 2 5" xfId="103" xr:uid="{00000000-0005-0000-0000-000060000000}"/>
    <cellStyle name="Accent2 2" xfId="104" xr:uid="{00000000-0005-0000-0000-000061000000}"/>
    <cellStyle name="Accent2 2 2" xfId="105" xr:uid="{00000000-0005-0000-0000-000062000000}"/>
    <cellStyle name="Accent2 2 3" xfId="106" xr:uid="{00000000-0005-0000-0000-000063000000}"/>
    <cellStyle name="Accent2 2 4" xfId="107" xr:uid="{00000000-0005-0000-0000-000064000000}"/>
    <cellStyle name="Accent2 2 5" xfId="108" xr:uid="{00000000-0005-0000-0000-000065000000}"/>
    <cellStyle name="Accent3 2" xfId="109" xr:uid="{00000000-0005-0000-0000-000066000000}"/>
    <cellStyle name="Accent3 2 2" xfId="110" xr:uid="{00000000-0005-0000-0000-000067000000}"/>
    <cellStyle name="Accent3 2 3" xfId="111" xr:uid="{00000000-0005-0000-0000-000068000000}"/>
    <cellStyle name="Accent3 2 4" xfId="112" xr:uid="{00000000-0005-0000-0000-000069000000}"/>
    <cellStyle name="Accent3 2 5" xfId="113" xr:uid="{00000000-0005-0000-0000-00006A000000}"/>
    <cellStyle name="Accent4 2" xfId="114" xr:uid="{00000000-0005-0000-0000-00006B000000}"/>
    <cellStyle name="Accent4 2 2" xfId="115" xr:uid="{00000000-0005-0000-0000-00006C000000}"/>
    <cellStyle name="Accent4 2 3" xfId="116" xr:uid="{00000000-0005-0000-0000-00006D000000}"/>
    <cellStyle name="Accent4 2 4" xfId="117" xr:uid="{00000000-0005-0000-0000-00006E000000}"/>
    <cellStyle name="Accent4 2 5" xfId="118" xr:uid="{00000000-0005-0000-0000-00006F000000}"/>
    <cellStyle name="Accent5 2" xfId="119" xr:uid="{00000000-0005-0000-0000-000070000000}"/>
    <cellStyle name="Accent5 2 2" xfId="120" xr:uid="{00000000-0005-0000-0000-000071000000}"/>
    <cellStyle name="Accent5 2 3" xfId="121" xr:uid="{00000000-0005-0000-0000-000072000000}"/>
    <cellStyle name="Accent5 2 4" xfId="122" xr:uid="{00000000-0005-0000-0000-000073000000}"/>
    <cellStyle name="Accent5 2 5" xfId="123" xr:uid="{00000000-0005-0000-0000-000074000000}"/>
    <cellStyle name="Accent6 2" xfId="124" xr:uid="{00000000-0005-0000-0000-000075000000}"/>
    <cellStyle name="Accent6 2 2" xfId="125" xr:uid="{00000000-0005-0000-0000-000076000000}"/>
    <cellStyle name="Accent6 2 3" xfId="126" xr:uid="{00000000-0005-0000-0000-000077000000}"/>
    <cellStyle name="Accent6 2 4" xfId="127" xr:uid="{00000000-0005-0000-0000-000078000000}"/>
    <cellStyle name="Accent6 2 5" xfId="128" xr:uid="{00000000-0005-0000-0000-000079000000}"/>
    <cellStyle name="Bad 2" xfId="129" xr:uid="{00000000-0005-0000-0000-00007A000000}"/>
    <cellStyle name="Bad 2 2" xfId="130" xr:uid="{00000000-0005-0000-0000-00007B000000}"/>
    <cellStyle name="Bad 2 3" xfId="131" xr:uid="{00000000-0005-0000-0000-00007C000000}"/>
    <cellStyle name="Bad 2 4" xfId="132" xr:uid="{00000000-0005-0000-0000-00007D000000}"/>
    <cellStyle name="Bad 2 5" xfId="133" xr:uid="{00000000-0005-0000-0000-00007E000000}"/>
    <cellStyle name="Black fill" xfId="4" xr:uid="{00000000-0005-0000-0000-00007F000000}"/>
    <cellStyle name="Calculation 2" xfId="134" xr:uid="{00000000-0005-0000-0000-000080000000}"/>
    <cellStyle name="Calculation 2 2" xfId="135" xr:uid="{00000000-0005-0000-0000-000081000000}"/>
    <cellStyle name="Calculation 2 3" xfId="136" xr:uid="{00000000-0005-0000-0000-000082000000}"/>
    <cellStyle name="Calculation 2 4" xfId="137" xr:uid="{00000000-0005-0000-0000-000083000000}"/>
    <cellStyle name="Calculation 2 5" xfId="138" xr:uid="{00000000-0005-0000-0000-000084000000}"/>
    <cellStyle name="cells" xfId="222" xr:uid="{00000000-0005-0000-0000-000085000000}"/>
    <cellStyle name="Check Cell 2" xfId="139" xr:uid="{00000000-0005-0000-0000-000086000000}"/>
    <cellStyle name="Check Cell 2 2" xfId="140" xr:uid="{00000000-0005-0000-0000-000087000000}"/>
    <cellStyle name="Check Cell 2 3" xfId="141" xr:uid="{00000000-0005-0000-0000-000088000000}"/>
    <cellStyle name="Check Cell 2 4" xfId="142" xr:uid="{00000000-0005-0000-0000-000089000000}"/>
    <cellStyle name="Check Cell 2 5" xfId="143" xr:uid="{00000000-0005-0000-0000-00008A000000}"/>
    <cellStyle name="column field" xfId="223" xr:uid="{00000000-0005-0000-0000-00008B000000}"/>
    <cellStyle name="Comma" xfId="233" builtinId="3"/>
    <cellStyle name="Explanatory Text 2" xfId="144" xr:uid="{00000000-0005-0000-0000-00008C000000}"/>
    <cellStyle name="Explanatory Text 2 2" xfId="145" xr:uid="{00000000-0005-0000-0000-00008D000000}"/>
    <cellStyle name="Explanatory Text 2 3" xfId="146" xr:uid="{00000000-0005-0000-0000-00008E000000}"/>
    <cellStyle name="Explanatory Text 2 4" xfId="147" xr:uid="{00000000-0005-0000-0000-00008F000000}"/>
    <cellStyle name="Explanatory Text 2 5" xfId="148" xr:uid="{00000000-0005-0000-0000-000090000000}"/>
    <cellStyle name="Fade out" xfId="5" xr:uid="{00000000-0005-0000-0000-000091000000}"/>
    <cellStyle name="field" xfId="224" xr:uid="{00000000-0005-0000-0000-000092000000}"/>
    <cellStyle name="field names" xfId="225" xr:uid="{00000000-0005-0000-0000-000093000000}"/>
    <cellStyle name="footer" xfId="226" xr:uid="{00000000-0005-0000-0000-000094000000}"/>
    <cellStyle name="Good 2" xfId="149" xr:uid="{00000000-0005-0000-0000-000095000000}"/>
    <cellStyle name="Good 2 2" xfId="150" xr:uid="{00000000-0005-0000-0000-000096000000}"/>
    <cellStyle name="Good 2 3" xfId="151" xr:uid="{00000000-0005-0000-0000-000097000000}"/>
    <cellStyle name="Good 2 4" xfId="152" xr:uid="{00000000-0005-0000-0000-000098000000}"/>
    <cellStyle name="Good 2 5" xfId="153" xr:uid="{00000000-0005-0000-0000-000099000000}"/>
    <cellStyle name="H1 GBCA" xfId="234" xr:uid="{2EEA3E48-EBDC-44ED-AA27-70EB26BB0736}"/>
    <cellStyle name="H2 GBCA" xfId="235" xr:uid="{14966A9F-B36E-4D18-8AC1-AA337D5AB6AC}"/>
    <cellStyle name="H3 GBCA" xfId="236" xr:uid="{205009C1-64FF-44CB-A2AE-AE088E4FFCB2}"/>
    <cellStyle name="heading" xfId="227" xr:uid="{00000000-0005-0000-0000-00009A000000}"/>
    <cellStyle name="Heading 1 2" xfId="154" xr:uid="{00000000-0005-0000-0000-00009B000000}"/>
    <cellStyle name="Heading 1 2 2" xfId="155" xr:uid="{00000000-0005-0000-0000-00009C000000}"/>
    <cellStyle name="Heading 1 2 3" xfId="156" xr:uid="{00000000-0005-0000-0000-00009D000000}"/>
    <cellStyle name="Heading 1 2 4" xfId="157" xr:uid="{00000000-0005-0000-0000-00009E000000}"/>
    <cellStyle name="Heading 1 2 5" xfId="158" xr:uid="{00000000-0005-0000-0000-00009F000000}"/>
    <cellStyle name="Heading 2 2" xfId="159" xr:uid="{00000000-0005-0000-0000-0000A0000000}"/>
    <cellStyle name="Heading 2 2 2" xfId="160" xr:uid="{00000000-0005-0000-0000-0000A1000000}"/>
    <cellStyle name="Heading 2 2 3" xfId="161" xr:uid="{00000000-0005-0000-0000-0000A2000000}"/>
    <cellStyle name="Heading 2 2 4" xfId="162" xr:uid="{00000000-0005-0000-0000-0000A3000000}"/>
    <cellStyle name="Heading 2 2 5" xfId="163" xr:uid="{00000000-0005-0000-0000-0000A4000000}"/>
    <cellStyle name="Heading 3 2" xfId="164" xr:uid="{00000000-0005-0000-0000-0000A5000000}"/>
    <cellStyle name="Heading 3 2 2" xfId="165" xr:uid="{00000000-0005-0000-0000-0000A6000000}"/>
    <cellStyle name="Heading 3 2 3" xfId="166" xr:uid="{00000000-0005-0000-0000-0000A7000000}"/>
    <cellStyle name="Heading 3 2 4" xfId="167" xr:uid="{00000000-0005-0000-0000-0000A8000000}"/>
    <cellStyle name="Heading 3 2 5" xfId="168" xr:uid="{00000000-0005-0000-0000-0000A9000000}"/>
    <cellStyle name="Heading 4 2" xfId="169" xr:uid="{00000000-0005-0000-0000-0000AA000000}"/>
    <cellStyle name="Heading 4 2 2" xfId="170" xr:uid="{00000000-0005-0000-0000-0000AB000000}"/>
    <cellStyle name="Heading 4 2 3" xfId="171" xr:uid="{00000000-0005-0000-0000-0000AC000000}"/>
    <cellStyle name="Heading 4 2 4" xfId="172" xr:uid="{00000000-0005-0000-0000-0000AD000000}"/>
    <cellStyle name="Heading 4 2 5" xfId="173" xr:uid="{00000000-0005-0000-0000-0000AE000000}"/>
    <cellStyle name="Input 2" xfId="174" xr:uid="{00000000-0005-0000-0000-0000AF000000}"/>
    <cellStyle name="Input 2 2" xfId="175" xr:uid="{00000000-0005-0000-0000-0000B0000000}"/>
    <cellStyle name="Input 2 3" xfId="176" xr:uid="{00000000-0005-0000-0000-0000B1000000}"/>
    <cellStyle name="Input 2 4" xfId="177" xr:uid="{00000000-0005-0000-0000-0000B2000000}"/>
    <cellStyle name="Input 2 5" xfId="178" xr:uid="{00000000-0005-0000-0000-0000B3000000}"/>
    <cellStyle name="Linked Cell 2" xfId="179" xr:uid="{00000000-0005-0000-0000-0000B4000000}"/>
    <cellStyle name="Linked Cell 2 2" xfId="180" xr:uid="{00000000-0005-0000-0000-0000B5000000}"/>
    <cellStyle name="Linked Cell 2 3" xfId="181" xr:uid="{00000000-0005-0000-0000-0000B6000000}"/>
    <cellStyle name="Linked Cell 2 4" xfId="182" xr:uid="{00000000-0005-0000-0000-0000B7000000}"/>
    <cellStyle name="Linked Cell 2 5" xfId="183" xr:uid="{00000000-0005-0000-0000-0000B8000000}"/>
    <cellStyle name="Neutral 2" xfId="184" xr:uid="{00000000-0005-0000-0000-0000B9000000}"/>
    <cellStyle name="Neutral 2 2" xfId="185" xr:uid="{00000000-0005-0000-0000-0000BA000000}"/>
    <cellStyle name="Neutral 2 3" xfId="186" xr:uid="{00000000-0005-0000-0000-0000BB000000}"/>
    <cellStyle name="Neutral 2 4" xfId="187" xr:uid="{00000000-0005-0000-0000-0000BC000000}"/>
    <cellStyle name="Neutral 2 5" xfId="188" xr:uid="{00000000-0005-0000-0000-0000BD000000}"/>
    <cellStyle name="Normal" xfId="0" builtinId="0"/>
    <cellStyle name="Normal 2" xfId="8" xr:uid="{00000000-0005-0000-0000-0000BF000000}"/>
    <cellStyle name="Normal 2 2" xfId="189" xr:uid="{00000000-0005-0000-0000-0000C0000000}"/>
    <cellStyle name="Normal 2 2 2" xfId="228" xr:uid="{00000000-0005-0000-0000-0000C1000000}"/>
    <cellStyle name="Normal 2 3" xfId="6" xr:uid="{00000000-0005-0000-0000-0000C2000000}"/>
    <cellStyle name="Normal 3" xfId="190" xr:uid="{00000000-0005-0000-0000-0000C3000000}"/>
    <cellStyle name="Normal 3 2" xfId="191" xr:uid="{00000000-0005-0000-0000-0000C4000000}"/>
    <cellStyle name="Normal 3 3" xfId="221" xr:uid="{00000000-0005-0000-0000-0000C5000000}"/>
    <cellStyle name="Normal 4" xfId="192" xr:uid="{00000000-0005-0000-0000-0000C6000000}"/>
    <cellStyle name="Normal 5" xfId="7" xr:uid="{00000000-0005-0000-0000-0000C7000000}"/>
    <cellStyle name="Normal 7" xfId="193" xr:uid="{00000000-0005-0000-0000-0000C8000000}"/>
    <cellStyle name="Normal_shopping centre design edit.xls" xfId="1" xr:uid="{00000000-0005-0000-0000-0000CB000000}"/>
    <cellStyle name="Note 2" xfId="194" xr:uid="{00000000-0005-0000-0000-0000CC000000}"/>
    <cellStyle name="Note 2 2" xfId="195" xr:uid="{00000000-0005-0000-0000-0000CD000000}"/>
    <cellStyle name="Note 2 3" xfId="196" xr:uid="{00000000-0005-0000-0000-0000CE000000}"/>
    <cellStyle name="Note 2 4" xfId="197" xr:uid="{00000000-0005-0000-0000-0000CF000000}"/>
    <cellStyle name="Note 2 5" xfId="198" xr:uid="{00000000-0005-0000-0000-0000D0000000}"/>
    <cellStyle name="Output 2" xfId="199" xr:uid="{00000000-0005-0000-0000-0000D1000000}"/>
    <cellStyle name="Output 2 2" xfId="200" xr:uid="{00000000-0005-0000-0000-0000D2000000}"/>
    <cellStyle name="Output 2 3" xfId="201" xr:uid="{00000000-0005-0000-0000-0000D3000000}"/>
    <cellStyle name="Output 2 4" xfId="202" xr:uid="{00000000-0005-0000-0000-0000D4000000}"/>
    <cellStyle name="Output 2 5" xfId="203" xr:uid="{00000000-0005-0000-0000-0000D5000000}"/>
    <cellStyle name="Percent" xfId="220" builtinId="5"/>
    <cellStyle name="Percent 2" xfId="204" xr:uid="{00000000-0005-0000-0000-0000D7000000}"/>
    <cellStyle name="Percent 3" xfId="229" xr:uid="{00000000-0005-0000-0000-0000D8000000}"/>
    <cellStyle name="Percent 4" xfId="230" xr:uid="{00000000-0005-0000-0000-0000D9000000}"/>
    <cellStyle name="rowfield" xfId="231" xr:uid="{00000000-0005-0000-0000-0000DA000000}"/>
    <cellStyle name="Test" xfId="232" xr:uid="{00000000-0005-0000-0000-0000DB000000}"/>
    <cellStyle name="Title 2" xfId="205" xr:uid="{00000000-0005-0000-0000-0000DC000000}"/>
    <cellStyle name="Title 2 2" xfId="206" xr:uid="{00000000-0005-0000-0000-0000DD000000}"/>
    <cellStyle name="Title 2 3" xfId="207" xr:uid="{00000000-0005-0000-0000-0000DE000000}"/>
    <cellStyle name="Title 2 4" xfId="208" xr:uid="{00000000-0005-0000-0000-0000DF000000}"/>
    <cellStyle name="Title 2 5" xfId="209" xr:uid="{00000000-0005-0000-0000-0000E0000000}"/>
    <cellStyle name="Total 2" xfId="210" xr:uid="{00000000-0005-0000-0000-0000E1000000}"/>
    <cellStyle name="Total 2 2" xfId="211" xr:uid="{00000000-0005-0000-0000-0000E2000000}"/>
    <cellStyle name="Total 2 3" xfId="212" xr:uid="{00000000-0005-0000-0000-0000E3000000}"/>
    <cellStyle name="Total 2 4" xfId="213" xr:uid="{00000000-0005-0000-0000-0000E4000000}"/>
    <cellStyle name="Total 2 5" xfId="214" xr:uid="{00000000-0005-0000-0000-0000E5000000}"/>
    <cellStyle name="Warning Text 2" xfId="215" xr:uid="{00000000-0005-0000-0000-0000E6000000}"/>
    <cellStyle name="Warning Text 2 2" xfId="216" xr:uid="{00000000-0005-0000-0000-0000E7000000}"/>
    <cellStyle name="Warning Text 2 3" xfId="217" xr:uid="{00000000-0005-0000-0000-0000E8000000}"/>
    <cellStyle name="Warning Text 2 4" xfId="218" xr:uid="{00000000-0005-0000-0000-0000E9000000}"/>
    <cellStyle name="Warning Text 2 5" xfId="219" xr:uid="{00000000-0005-0000-0000-0000EA000000}"/>
  </cellStyles>
  <dxfs count="108">
    <dxf>
      <fill>
        <patternFill>
          <bgColor theme="3" tint="0.79998168889431442"/>
        </patternFill>
      </fill>
    </dxf>
    <dxf>
      <font>
        <color theme="1"/>
      </font>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1"/>
      </font>
      <fill>
        <patternFill>
          <bgColor theme="0"/>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1"/>
      </font>
      <fill>
        <patternFill>
          <bgColor theme="4"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strike/>
      </font>
    </dxf>
    <dxf>
      <font>
        <strike/>
      </font>
    </dxf>
    <dxf>
      <font>
        <color theme="1"/>
      </font>
      <fill>
        <patternFill>
          <bgColor theme="0"/>
        </patternFill>
      </fill>
    </dxf>
    <dxf>
      <font>
        <color theme="1"/>
      </font>
      <fill>
        <patternFill>
          <bgColor theme="0"/>
        </patternFill>
      </fill>
    </dxf>
    <dxf>
      <font>
        <color theme="1"/>
      </font>
      <fill>
        <patternFill>
          <bgColor theme="0"/>
        </patternFill>
      </fill>
    </dxf>
    <dxf>
      <font>
        <color theme="8" tint="0.39994506668294322"/>
      </font>
      <fill>
        <patternFill patternType="solid">
          <bgColor theme="8" tint="0.79998168889431442"/>
        </patternFill>
      </fill>
    </dxf>
    <dxf>
      <font>
        <color theme="8" tint="0.39994506668294322"/>
      </font>
      <fill>
        <patternFill>
          <bgColor theme="8" tint="0.79998168889431442"/>
        </patternFill>
      </fill>
    </dxf>
    <dxf>
      <font>
        <color theme="8" tint="0.39994506668294322"/>
      </font>
      <fill>
        <patternFill>
          <bgColor rgb="FFEBECED"/>
        </patternFill>
      </fill>
    </dxf>
    <dxf>
      <font>
        <color theme="1"/>
      </font>
      <fill>
        <patternFill>
          <bgColor theme="0"/>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rgb="FFEBECED"/>
        </patternFill>
      </fill>
    </dxf>
    <dxf>
      <font>
        <color theme="8" tint="0.39994506668294322"/>
      </font>
      <fill>
        <patternFill>
          <bgColor rgb="FFEBECED"/>
        </patternFill>
      </fill>
    </dxf>
    <dxf>
      <font>
        <color theme="8" tint="0.39994506668294322"/>
      </font>
      <fill>
        <patternFill>
          <bgColor rgb="FFEBECED"/>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fgColor theme="8" tint="0.79989013336588644"/>
          <bgColor rgb="FFEBECED"/>
        </patternFill>
      </fill>
    </dxf>
    <dxf>
      <font>
        <color theme="8" tint="0.39994506668294322"/>
      </font>
      <fill>
        <patternFill>
          <bgColor rgb="FFEBECED"/>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strike/>
      </font>
    </dxf>
    <dxf>
      <font>
        <strike/>
      </font>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color theme="8" tint="0.39994506668294322"/>
      </font>
      <fill>
        <patternFill>
          <bgColor theme="8" tint="0.79998168889431442"/>
        </patternFill>
      </fill>
    </dxf>
    <dxf>
      <font>
        <b/>
        <i val="0"/>
        <color theme="0"/>
      </font>
      <fill>
        <patternFill>
          <bgColor theme="8"/>
        </patternFill>
      </fill>
    </dxf>
    <dxf>
      <font>
        <b/>
        <i val="0"/>
        <color theme="0"/>
      </font>
      <fill>
        <patternFill>
          <bgColor theme="4"/>
        </patternFill>
      </fill>
    </dxf>
    <dxf>
      <font>
        <color rgb="FF006100"/>
      </font>
      <fill>
        <patternFill>
          <bgColor rgb="FFC6EFCE"/>
        </patternFill>
      </fill>
    </dxf>
    <dxf>
      <font>
        <b/>
        <i val="0"/>
        <color theme="0"/>
      </font>
      <fill>
        <patternFill>
          <bgColor theme="8"/>
        </patternFill>
      </fill>
    </dxf>
    <dxf>
      <font>
        <b/>
        <i val="0"/>
        <color theme="0"/>
      </font>
      <fill>
        <patternFill>
          <bgColor theme="4"/>
        </patternFill>
      </fill>
    </dxf>
    <dxf>
      <font>
        <color rgb="FF006100"/>
      </font>
      <fill>
        <patternFill>
          <bgColor rgb="FFC6EFCE"/>
        </patternFill>
      </fill>
    </dxf>
    <dxf>
      <alignment horizontal="center" vertical="center" textRotation="0" indent="0" justifyLastLine="0" shrinkToFit="0" readingOrder="0"/>
    </dxf>
    <dxf>
      <font>
        <b/>
        <i val="0"/>
        <strike val="0"/>
        <condense val="0"/>
        <extend val="0"/>
        <outline val="0"/>
        <shadow val="0"/>
        <u val="none"/>
        <vertAlign val="baseline"/>
        <sz val="10"/>
        <color theme="1"/>
        <name val="Arial"/>
        <family val="2"/>
        <scheme val="minor"/>
      </font>
      <alignment horizontal="center" vertical="center" textRotation="0" wrapText="1" indent="0" justifyLastLine="0" shrinkToFit="0" readingOrder="0"/>
    </dxf>
    <dxf>
      <border>
        <bottom style="thin">
          <color rgb="FF000000"/>
        </bottom>
      </border>
    </dxf>
    <dxf>
      <font>
        <color theme="3"/>
      </font>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numFmt numFmtId="19" formatCode="d/mm/yyyy"/>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0"/>
        <color theme="8"/>
        <name val="Arial"/>
        <family val="2"/>
        <scheme val="minor"/>
      </font>
      <alignment horizontal="general" vertical="center" textRotation="0" wrapText="0" indent="0" justifyLastLine="0" shrinkToFit="0" readingOrder="0"/>
      <border diagonalUp="0" diagonalDown="0" outline="0">
        <left style="thick">
          <color theme="0"/>
        </left>
        <right style="thick">
          <color theme="0"/>
        </right>
        <top/>
        <bottom/>
      </border>
    </dxf>
  </dxfs>
  <tableStyles count="0" defaultTableStyle="TableStyleMedium9" defaultPivotStyle="PivotStyleLight16"/>
  <colors>
    <mruColors>
      <color rgb="FF000000"/>
      <color rgb="FF8DC43F"/>
      <color rgb="FF006600"/>
      <color rgb="FF59B54F"/>
      <color rgb="FFF2F3F4"/>
      <color rgb="FFFFFFFF"/>
      <color rgb="FFEBECED"/>
      <color rgb="FF1F3860"/>
      <color rgb="FF9C6500"/>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C$28" lockText="1" noThreeD="1"/>
</file>

<file path=xl/ctrlProps/ctrlProp10.xml><?xml version="1.0" encoding="utf-8"?>
<formControlPr xmlns="http://schemas.microsoft.com/office/spreadsheetml/2009/9/main" objectType="CheckBox" fmlaLink="$C$41" lockText="1" noThreeD="1"/>
</file>

<file path=xl/ctrlProps/ctrlProp11.xml><?xml version="1.0" encoding="utf-8"?>
<formControlPr xmlns="http://schemas.microsoft.com/office/spreadsheetml/2009/9/main" objectType="CheckBox" fmlaLink="$C$42" lockText="1" noThreeD="1"/>
</file>

<file path=xl/ctrlProps/ctrlProp12.xml><?xml version="1.0" encoding="utf-8"?>
<formControlPr xmlns="http://schemas.microsoft.com/office/spreadsheetml/2009/9/main" objectType="CheckBox" fmlaLink="$C$43" lockText="1" noThreeD="1"/>
</file>

<file path=xl/ctrlProps/ctrlProp13.xml><?xml version="1.0" encoding="utf-8"?>
<formControlPr xmlns="http://schemas.microsoft.com/office/spreadsheetml/2009/9/main" objectType="CheckBox" fmlaLink="$C$80" lockText="1" noThreeD="1"/>
</file>

<file path=xl/ctrlProps/ctrlProp14.xml><?xml version="1.0" encoding="utf-8"?>
<formControlPr xmlns="http://schemas.microsoft.com/office/spreadsheetml/2009/9/main" objectType="CheckBox" fmlaLink="$C$91" lockText="1" noThreeD="1"/>
</file>

<file path=xl/ctrlProps/ctrlProp15.xml><?xml version="1.0" encoding="utf-8"?>
<formControlPr xmlns="http://schemas.microsoft.com/office/spreadsheetml/2009/9/main" objectType="CheckBox" fmlaLink="$C$29" lockText="1" noThreeD="1"/>
</file>

<file path=xl/ctrlProps/ctrlProp16.xml><?xml version="1.0" encoding="utf-8"?>
<formControlPr xmlns="http://schemas.microsoft.com/office/spreadsheetml/2009/9/main" objectType="CheckBox" fmlaLink="$C$28" lockText="1" noThreeD="1"/>
</file>

<file path=xl/ctrlProps/ctrlProp17.xml><?xml version="1.0" encoding="utf-8"?>
<formControlPr xmlns="http://schemas.microsoft.com/office/spreadsheetml/2009/9/main" objectType="CheckBox" fmlaLink="$C$30" lockText="1" noThreeD="1"/>
</file>

<file path=xl/ctrlProps/ctrlProp18.xml><?xml version="1.0" encoding="utf-8"?>
<formControlPr xmlns="http://schemas.microsoft.com/office/spreadsheetml/2009/9/main" objectType="CheckBox" fmlaLink="$C$31" lockText="1" noThreeD="1"/>
</file>

<file path=xl/ctrlProps/ctrlProp19.xml><?xml version="1.0" encoding="utf-8"?>
<formControlPr xmlns="http://schemas.microsoft.com/office/spreadsheetml/2009/9/main" objectType="CheckBox" fmlaLink="$C$32" lockText="1" noThreeD="1"/>
</file>

<file path=xl/ctrlProps/ctrlProp2.xml><?xml version="1.0" encoding="utf-8"?>
<formControlPr xmlns="http://schemas.microsoft.com/office/spreadsheetml/2009/9/main" objectType="CheckBox" fmlaLink="$C$29" lockText="1" noThreeD="1"/>
</file>

<file path=xl/ctrlProps/ctrlProp20.xml><?xml version="1.0" encoding="utf-8"?>
<formControlPr xmlns="http://schemas.microsoft.com/office/spreadsheetml/2009/9/main" objectType="CheckBox" fmlaLink="$C$33" lockText="1" noThreeD="1"/>
</file>

<file path=xl/ctrlProps/ctrlProp21.xml><?xml version="1.0" encoding="utf-8"?>
<formControlPr xmlns="http://schemas.microsoft.com/office/spreadsheetml/2009/9/main" objectType="CheckBox" fmlaLink="$C$35" lockText="1" noThreeD="1"/>
</file>

<file path=xl/ctrlProps/ctrlProp22.xml><?xml version="1.0" encoding="utf-8"?>
<formControlPr xmlns="http://schemas.microsoft.com/office/spreadsheetml/2009/9/main" objectType="CheckBox" fmlaLink="$C$36" lockText="1" noThreeD="1"/>
</file>

<file path=xl/ctrlProps/ctrlProp23.xml><?xml version="1.0" encoding="utf-8"?>
<formControlPr xmlns="http://schemas.microsoft.com/office/spreadsheetml/2009/9/main" objectType="CheckBox" fmlaLink="$C$37" lockText="1" noThreeD="1"/>
</file>

<file path=xl/ctrlProps/ctrlProp24.xml><?xml version="1.0" encoding="utf-8"?>
<formControlPr xmlns="http://schemas.microsoft.com/office/spreadsheetml/2009/9/main" objectType="CheckBox" fmlaLink="$C$39" lockText="1" noThreeD="1"/>
</file>

<file path=xl/ctrlProps/ctrlProp25.xml><?xml version="1.0" encoding="utf-8"?>
<formControlPr xmlns="http://schemas.microsoft.com/office/spreadsheetml/2009/9/main" objectType="CheckBox" fmlaLink="$C$40" lockText="1" noThreeD="1"/>
</file>

<file path=xl/ctrlProps/ctrlProp26.xml><?xml version="1.0" encoding="utf-8"?>
<formControlPr xmlns="http://schemas.microsoft.com/office/spreadsheetml/2009/9/main" objectType="CheckBox" fmlaLink="$C$41" lockText="1" noThreeD="1"/>
</file>

<file path=xl/ctrlProps/ctrlProp27.xml><?xml version="1.0" encoding="utf-8"?>
<formControlPr xmlns="http://schemas.microsoft.com/office/spreadsheetml/2009/9/main" objectType="CheckBox" fmlaLink="$C$42" lockText="1" noThreeD="1"/>
</file>

<file path=xl/ctrlProps/ctrlProp28.xml><?xml version="1.0" encoding="utf-8"?>
<formControlPr xmlns="http://schemas.microsoft.com/office/spreadsheetml/2009/9/main" objectType="CheckBox" fmlaLink="$C$43" lockText="1" noThreeD="1"/>
</file>

<file path=xl/ctrlProps/ctrlProp29.xml><?xml version="1.0" encoding="utf-8"?>
<formControlPr xmlns="http://schemas.microsoft.com/office/spreadsheetml/2009/9/main" objectType="CheckBox" fmlaLink="$C$44" lockText="1" noThreeD="1"/>
</file>

<file path=xl/ctrlProps/ctrlProp3.xml><?xml version="1.0" encoding="utf-8"?>
<formControlPr xmlns="http://schemas.microsoft.com/office/spreadsheetml/2009/9/main" objectType="CheckBox" fmlaLink="$C$30" lockText="1" noThreeD="1"/>
</file>

<file path=xl/ctrlProps/ctrlProp30.xml><?xml version="1.0" encoding="utf-8"?>
<formControlPr xmlns="http://schemas.microsoft.com/office/spreadsheetml/2009/9/main" objectType="CheckBox" fmlaLink="$C$56" lockText="1" noThreeD="1"/>
</file>

<file path=xl/ctrlProps/ctrlProp31.xml><?xml version="1.0" encoding="utf-8"?>
<formControlPr xmlns="http://schemas.microsoft.com/office/spreadsheetml/2009/9/main" objectType="CheckBox" fmlaLink="$C$57" lockText="1" noThreeD="1"/>
</file>

<file path=xl/ctrlProps/ctrlProp32.xml><?xml version="1.0" encoding="utf-8"?>
<formControlPr xmlns="http://schemas.microsoft.com/office/spreadsheetml/2009/9/main" objectType="CheckBox" fmlaLink="$C$67" lockText="1" noThreeD="1"/>
</file>

<file path=xl/ctrlProps/ctrlProp33.xml><?xml version="1.0" encoding="utf-8"?>
<formControlPr xmlns="http://schemas.microsoft.com/office/spreadsheetml/2009/9/main" objectType="CheckBox" fmlaLink="$C$68" lockText="1" noThreeD="1"/>
</file>

<file path=xl/ctrlProps/ctrlProp34.xml><?xml version="1.0" encoding="utf-8"?>
<formControlPr xmlns="http://schemas.microsoft.com/office/spreadsheetml/2009/9/main" objectType="CheckBox" fmlaLink="$C$91" lockText="1" noThreeD="1"/>
</file>

<file path=xl/ctrlProps/ctrlProp35.xml><?xml version="1.0" encoding="utf-8"?>
<formControlPr xmlns="http://schemas.microsoft.com/office/spreadsheetml/2009/9/main" objectType="CheckBox" fmlaLink="$C$78" lockText="1" noThreeD="1"/>
</file>

<file path=xl/ctrlProps/ctrlProp36.xml><?xml version="1.0" encoding="utf-8"?>
<formControlPr xmlns="http://schemas.microsoft.com/office/spreadsheetml/2009/9/main" objectType="CheckBox" fmlaLink="$C$79" lockText="1" noThreeD="1"/>
</file>

<file path=xl/ctrlProps/ctrlProp37.xml><?xml version="1.0" encoding="utf-8"?>
<formControlPr xmlns="http://schemas.microsoft.com/office/spreadsheetml/2009/9/main" objectType="CheckBox" fmlaLink="$C$80" lockText="1" noThreeD="1"/>
</file>

<file path=xl/ctrlProps/ctrlProp38.xml><?xml version="1.0" encoding="utf-8"?>
<formControlPr xmlns="http://schemas.microsoft.com/office/spreadsheetml/2009/9/main" objectType="CheckBox" fmlaLink="$C$28" lockText="1" noThreeD="1"/>
</file>

<file path=xl/ctrlProps/ctrlProp39.xml><?xml version="1.0" encoding="utf-8"?>
<formControlPr xmlns="http://schemas.microsoft.com/office/spreadsheetml/2009/9/main" objectType="CheckBox" fmlaLink="$C$27" lockText="1" noThreeD="1"/>
</file>

<file path=xl/ctrlProps/ctrlProp4.xml><?xml version="1.0" encoding="utf-8"?>
<formControlPr xmlns="http://schemas.microsoft.com/office/spreadsheetml/2009/9/main" objectType="CheckBox" fmlaLink="$C$31" lockText="1" noThreeD="1"/>
</file>

<file path=xl/ctrlProps/ctrlProp40.xml><?xml version="1.0" encoding="utf-8"?>
<formControlPr xmlns="http://schemas.microsoft.com/office/spreadsheetml/2009/9/main" objectType="CheckBox" fmlaLink="$C$29" lockText="1" noThreeD="1"/>
</file>

<file path=xl/ctrlProps/ctrlProp41.xml><?xml version="1.0" encoding="utf-8"?>
<formControlPr xmlns="http://schemas.microsoft.com/office/spreadsheetml/2009/9/main" objectType="CheckBox" fmlaLink="$C$30" lockText="1" noThreeD="1"/>
</file>

<file path=xl/ctrlProps/ctrlProp42.xml><?xml version="1.0" encoding="utf-8"?>
<formControlPr xmlns="http://schemas.microsoft.com/office/spreadsheetml/2009/9/main" objectType="CheckBox" fmlaLink="$C$31" lockText="1" noThreeD="1"/>
</file>

<file path=xl/ctrlProps/ctrlProp43.xml><?xml version="1.0" encoding="utf-8"?>
<formControlPr xmlns="http://schemas.microsoft.com/office/spreadsheetml/2009/9/main" objectType="CheckBox" fmlaLink="$C$32" lockText="1" noThreeD="1"/>
</file>

<file path=xl/ctrlProps/ctrlProp44.xml><?xml version="1.0" encoding="utf-8"?>
<formControlPr xmlns="http://schemas.microsoft.com/office/spreadsheetml/2009/9/main" objectType="CheckBox" fmlaLink="$C$34" lockText="1" noThreeD="1"/>
</file>

<file path=xl/ctrlProps/ctrlProp45.xml><?xml version="1.0" encoding="utf-8"?>
<formControlPr xmlns="http://schemas.microsoft.com/office/spreadsheetml/2009/9/main" objectType="CheckBox" fmlaLink="$C$35" lockText="1" noThreeD="1"/>
</file>

<file path=xl/ctrlProps/ctrlProp46.xml><?xml version="1.0" encoding="utf-8"?>
<formControlPr xmlns="http://schemas.microsoft.com/office/spreadsheetml/2009/9/main" objectType="CheckBox" fmlaLink="$C$36" lockText="1" noThreeD="1"/>
</file>

<file path=xl/ctrlProps/ctrlProp47.xml><?xml version="1.0" encoding="utf-8"?>
<formControlPr xmlns="http://schemas.microsoft.com/office/spreadsheetml/2009/9/main" objectType="CheckBox" fmlaLink="$C$38" lockText="1" noThreeD="1"/>
</file>

<file path=xl/ctrlProps/ctrlProp48.xml><?xml version="1.0" encoding="utf-8"?>
<formControlPr xmlns="http://schemas.microsoft.com/office/spreadsheetml/2009/9/main" objectType="CheckBox" fmlaLink="$C$39" lockText="1" noThreeD="1"/>
</file>

<file path=xl/ctrlProps/ctrlProp49.xml><?xml version="1.0" encoding="utf-8"?>
<formControlPr xmlns="http://schemas.microsoft.com/office/spreadsheetml/2009/9/main" objectType="CheckBox" fmlaLink="$C$40" lockText="1" noThreeD="1"/>
</file>

<file path=xl/ctrlProps/ctrlProp5.xml><?xml version="1.0" encoding="utf-8"?>
<formControlPr xmlns="http://schemas.microsoft.com/office/spreadsheetml/2009/9/main" objectType="CheckBox" fmlaLink="$C$32" lockText="1" noThreeD="1"/>
</file>

<file path=xl/ctrlProps/ctrlProp50.xml><?xml version="1.0" encoding="utf-8"?>
<formControlPr xmlns="http://schemas.microsoft.com/office/spreadsheetml/2009/9/main" objectType="CheckBox" fmlaLink="$C$41" lockText="1" noThreeD="1"/>
</file>

<file path=xl/ctrlProps/ctrlProp51.xml><?xml version="1.0" encoding="utf-8"?>
<formControlPr xmlns="http://schemas.microsoft.com/office/spreadsheetml/2009/9/main" objectType="CheckBox" fmlaLink="$C$42" lockText="1" noThreeD="1"/>
</file>

<file path=xl/ctrlProps/ctrlProp52.xml><?xml version="1.0" encoding="utf-8"?>
<formControlPr xmlns="http://schemas.microsoft.com/office/spreadsheetml/2009/9/main" objectType="CheckBox" fmlaLink="$C$43" lockText="1" noThreeD="1"/>
</file>

<file path=xl/ctrlProps/ctrlProp53.xml><?xml version="1.0" encoding="utf-8"?>
<formControlPr xmlns="http://schemas.microsoft.com/office/spreadsheetml/2009/9/main" objectType="CheckBox" fmlaLink="$C$69" lockText="1" noThreeD="1"/>
</file>

<file path=xl/ctrlProps/ctrlProp54.xml><?xml version="1.0" encoding="utf-8"?>
<formControlPr xmlns="http://schemas.microsoft.com/office/spreadsheetml/2009/9/main" objectType="CheckBox" fmlaLink="$C$70" lockText="1" noThreeD="1"/>
</file>

<file path=xl/ctrlProps/ctrlProp55.xml><?xml version="1.0" encoding="utf-8"?>
<formControlPr xmlns="http://schemas.microsoft.com/office/spreadsheetml/2009/9/main" objectType="CheckBox" fmlaLink="$C$80" lockText="1" noThreeD="1"/>
</file>

<file path=xl/ctrlProps/ctrlProp56.xml><?xml version="1.0" encoding="utf-8"?>
<formControlPr xmlns="http://schemas.microsoft.com/office/spreadsheetml/2009/9/main" objectType="CheckBox" fmlaLink="$C$81" lockText="1" noThreeD="1"/>
</file>

<file path=xl/ctrlProps/ctrlProp57.xml><?xml version="1.0" encoding="utf-8"?>
<formControlPr xmlns="http://schemas.microsoft.com/office/spreadsheetml/2009/9/main" objectType="CheckBox" fmlaLink="$C$103" lockText="1" noThreeD="1"/>
</file>

<file path=xl/ctrlProps/ctrlProp58.xml><?xml version="1.0" encoding="utf-8"?>
<formControlPr xmlns="http://schemas.microsoft.com/office/spreadsheetml/2009/9/main" objectType="CheckBox" fmlaLink="$C$90" lockText="1" noThreeD="1"/>
</file>

<file path=xl/ctrlProps/ctrlProp59.xml><?xml version="1.0" encoding="utf-8"?>
<formControlPr xmlns="http://schemas.microsoft.com/office/spreadsheetml/2009/9/main" objectType="CheckBox" fmlaLink="$C$91" lockText="1" noThreeD="1"/>
</file>

<file path=xl/ctrlProps/ctrlProp6.xml><?xml version="1.0" encoding="utf-8"?>
<formControlPr xmlns="http://schemas.microsoft.com/office/spreadsheetml/2009/9/main" objectType="CheckBox" fmlaLink="$C$35" lockText="1" noThreeD="1"/>
</file>

<file path=xl/ctrlProps/ctrlProp60.xml><?xml version="1.0" encoding="utf-8"?>
<formControlPr xmlns="http://schemas.microsoft.com/office/spreadsheetml/2009/9/main" objectType="CheckBox" fmlaLink="$C$92" lockText="1" noThreeD="1"/>
</file>

<file path=xl/ctrlProps/ctrlProp7.xml><?xml version="1.0" encoding="utf-8"?>
<formControlPr xmlns="http://schemas.microsoft.com/office/spreadsheetml/2009/9/main" objectType="CheckBox" fmlaLink="$C$36" lockText="1" noThreeD="1"/>
</file>

<file path=xl/ctrlProps/ctrlProp8.xml><?xml version="1.0" encoding="utf-8"?>
<formControlPr xmlns="http://schemas.microsoft.com/office/spreadsheetml/2009/9/main" objectType="CheckBox" fmlaLink="$C$39" lockText="1" noThreeD="1"/>
</file>

<file path=xl/ctrlProps/ctrlProp9.xml><?xml version="1.0" encoding="utf-8"?>
<formControlPr xmlns="http://schemas.microsoft.com/office/spreadsheetml/2009/9/main" objectType="CheckBox" fmlaLink="$C$4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5</xdr:col>
      <xdr:colOff>555319</xdr:colOff>
      <xdr:row>5</xdr:row>
      <xdr:rowOff>34200</xdr:rowOff>
    </xdr:to>
    <xdr:pic>
      <xdr:nvPicPr>
        <xdr:cNvPr id="2" name="Picture 1">
          <a:extLst>
            <a:ext uri="{FF2B5EF4-FFF2-40B4-BE49-F238E27FC236}">
              <a16:creationId xmlns:a16="http://schemas.microsoft.com/office/drawing/2014/main" id="{89D09BC6-BEAA-4351-8D9D-C7A8ECE0E6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5" y="361950"/>
          <a:ext cx="3298519" cy="720000"/>
        </a:xfrm>
        <a:prstGeom prst="rect">
          <a:avLst/>
        </a:prstGeom>
      </xdr:spPr>
    </xdr:pic>
    <xdr:clientData/>
  </xdr:twoCellAnchor>
  <xdr:twoCellAnchor>
    <xdr:from>
      <xdr:col>0</xdr:col>
      <xdr:colOff>161925</xdr:colOff>
      <xdr:row>7</xdr:row>
      <xdr:rowOff>66675</xdr:rowOff>
    </xdr:from>
    <xdr:to>
      <xdr:col>11</xdr:col>
      <xdr:colOff>303900</xdr:colOff>
      <xdr:row>57</xdr:row>
      <xdr:rowOff>17925</xdr:rowOff>
    </xdr:to>
    <xdr:sp macro="" textlink="">
      <xdr:nvSpPr>
        <xdr:cNvPr id="3" name="TextBox 2">
          <a:extLst>
            <a:ext uri="{FF2B5EF4-FFF2-40B4-BE49-F238E27FC236}">
              <a16:creationId xmlns:a16="http://schemas.microsoft.com/office/drawing/2014/main" id="{31C4F00A-B7C6-4B8C-B07B-BC4D3CF24E52}"/>
            </a:ext>
            <a:ext uri="{147F2762-F138-4A5C-976F-8EAC2B608ADB}">
              <a16:predDERef xmlns:a16="http://schemas.microsoft.com/office/drawing/2014/main" pred="{89D09BC6-BEAA-4351-8D9D-C7A8ECE0E6F4}"/>
            </a:ext>
          </a:extLst>
        </xdr:cNvPr>
        <xdr:cNvSpPr txBox="1"/>
      </xdr:nvSpPr>
      <xdr:spPr>
        <a:xfrm>
          <a:off x="161925" y="1619250"/>
          <a:ext cx="7200000" cy="9000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n-AU" sz="1000">
              <a:latin typeface="Arial" panose="020B0604020202020204" pitchFamily="34" charset="0"/>
              <a:cs typeface="Arial" panose="020B0604020202020204" pitchFamily="34" charset="0"/>
            </a:rPr>
            <a:t>The Green Star sustainability rating system for buildings and communities (“Green Star”) and the Green Star Buildings rating tool (“Green Star Buildings”) have been developed by the New Zealand Green Building</a:t>
          </a:r>
          <a:r>
            <a:rPr lang="en-AU" sz="1000" baseline="0">
              <a:latin typeface="Arial" panose="020B0604020202020204" pitchFamily="34" charset="0"/>
              <a:cs typeface="Arial" panose="020B0604020202020204" pitchFamily="34" charset="0"/>
            </a:rPr>
            <a:t> Coucil ("NZGBC"),</a:t>
          </a:r>
          <a:r>
            <a:rPr lang="en-AU" sz="1000">
              <a:latin typeface="Arial" panose="020B0604020202020204" pitchFamily="34" charset="0"/>
              <a:cs typeface="Arial" panose="020B0604020202020204" pitchFamily="34" charset="0"/>
            </a:rPr>
            <a:t> Green Building Council of Australia (“GBCA”) in collaboration with sustainability and industry experts.</a:t>
          </a:r>
        </a:p>
        <a:p>
          <a:endParaRPr lang="en-AU" sz="1000">
            <a:latin typeface="Arial" panose="020B0604020202020204" pitchFamily="34" charset="0"/>
            <a:cs typeface="Arial" panose="020B0604020202020204" pitchFamily="34" charset="0"/>
          </a:endParaRPr>
        </a:p>
        <a:p>
          <a:r>
            <a:rPr lang="en-AU" sz="1000">
              <a:latin typeface="Arial" panose="020B0604020202020204" pitchFamily="34" charset="0"/>
              <a:cs typeface="Arial" panose="020B0604020202020204" pitchFamily="34" charset="0"/>
            </a:rPr>
            <a:t>Green Star is based on industry standards and best practice. It does not form part of any compulsory building code or rule. Applicants make their own decision to use Green Star rating tools and seek certification with the benefits it delivers. Use of Green Star and certification against the rating tool is on an as is basis. As such any shortcomings or problems arising from the use of Green Star cannot be used as a basis of a claim for liability against NZGBC.</a:t>
          </a:r>
        </a:p>
        <a:p>
          <a:endParaRPr lang="en-AU" sz="1000">
            <a:latin typeface="Arial" panose="020B0604020202020204" pitchFamily="34" charset="0"/>
            <a:cs typeface="Arial" panose="020B0604020202020204" pitchFamily="34" charset="0"/>
          </a:endParaRPr>
        </a:p>
        <a:p>
          <a:r>
            <a:rPr lang="en-AU" sz="1000">
              <a:latin typeface="Arial" panose="020B0604020202020204" pitchFamily="34" charset="0"/>
              <a:cs typeface="Arial" panose="020B0604020202020204" pitchFamily="34" charset="0"/>
            </a:rPr>
            <a:t>Green Star Buildings evaluates sustainability outcomes for the design and construction of all types of buildings (with the exception residential buildings). It is intended for use by stakeholders including project team members as a guide for green and sustainable existing building operations. As with all Green Star rating tools, Green Star Buildings may be subject to further development in the future.</a:t>
          </a:r>
        </a:p>
        <a:p>
          <a:endParaRPr lang="en-AU" sz="1000">
            <a:latin typeface="Arial" panose="020B0604020202020204" pitchFamily="34" charset="0"/>
            <a:cs typeface="Arial" panose="020B0604020202020204" pitchFamily="34" charset="0"/>
          </a:endParaRPr>
        </a:p>
        <a:p>
          <a:r>
            <a:rPr lang="en-AU" sz="1000">
              <a:latin typeface="Arial" panose="020B0604020202020204" pitchFamily="34" charset="0"/>
              <a:cs typeface="Arial" panose="020B0604020202020204" pitchFamily="34" charset="0"/>
            </a:rPr>
            <a:t>The GBCA authorises you to view and use Green Star Buildings for your individual use only. In exchange for this authorisation, you agree that the GBCA retains all copyright and other proprietary rights contained in and in relation to Green Star Buildings and agree not to sell, modify, or use for another purpose all or any part of the rating tool or to reproduce, display or distribute the rating tool in any way for any public or commercial purpose, including display on a website or in a networked environment. Unauthorised use of Green Star and/or Green Star Buildings will violate copyright and other laws, and is prohibited. All text, graphics, layout and other elements of content contained in Green Star and its rating tools are owned by the GBCA and are protected by copyright, trade mark and other laws.</a:t>
          </a:r>
        </a:p>
        <a:p>
          <a:endParaRPr lang="en-AU" sz="1000">
            <a:latin typeface="Arial" panose="020B0604020202020204" pitchFamily="34" charset="0"/>
            <a:cs typeface="Arial" panose="020B0604020202020204" pitchFamily="34" charset="0"/>
          </a:endParaRPr>
        </a:p>
        <a:p>
          <a:r>
            <a:rPr lang="en-AU" sz="1000">
              <a:latin typeface="Arial" panose="020B0604020202020204" pitchFamily="34" charset="0"/>
              <a:cs typeface="Arial" panose="020B0604020202020204" pitchFamily="34" charset="0"/>
            </a:rPr>
            <a:t>To the maximum extent permitted by law, the GBCA does not accept responsibility, including without limitation for negligence, for any inaccuracy within Green Star and/or its rating tools and makes no warranty, expressed or implied, including the warranties of merchantability and fitness for a particular purpose, nor assumes any legal liability or responsibility to you or any third parties for the accuracy, completeness, or use of, or reliance on, any information contained in Green Star and/or Green Star Buildings, or for any injuries, losses or damages (including, without limitation, equitable relief and economic loss) arising out of such use or reliance.  Green Star and Green Star Buildings are no substitute for professional advice. You should seek your own professional and other appropriate advice on the matters addressed by them.</a:t>
          </a:r>
        </a:p>
        <a:p>
          <a:endParaRPr lang="en-AU" sz="1000">
            <a:latin typeface="Arial" panose="020B0604020202020204" pitchFamily="34" charset="0"/>
            <a:cs typeface="Arial" panose="020B0604020202020204" pitchFamily="34" charset="0"/>
          </a:endParaRPr>
        </a:p>
        <a:p>
          <a:r>
            <a:rPr lang="en-AU" sz="1000">
              <a:latin typeface="Arial" panose="020B0604020202020204" pitchFamily="34" charset="0"/>
              <a:cs typeface="Arial" panose="020B0604020202020204" pitchFamily="34" charset="0"/>
            </a:rPr>
            <a:t>As a condition of use, you covenant not to sue, and agree to waive and release the GBCA, its officers, agents, employees and its members from any and all claims, demands and causes of action for any injury, loss, destruction or damage (including, without limitation, equitable relief and economic loss) that you may now or hereafter have a right to assert against such parties as a result of your use of, or reliance on, Green Star and/or Green Star Buildings.</a:t>
          </a:r>
        </a:p>
        <a:p>
          <a:endParaRPr lang="en-AU" sz="1000">
            <a:latin typeface="Arial" panose="020B0604020202020204" pitchFamily="34" charset="0"/>
            <a:cs typeface="Arial" panose="020B0604020202020204" pitchFamily="34" charset="0"/>
          </a:endParaRPr>
        </a:p>
        <a:p>
          <a:r>
            <a:rPr lang="en-AU" sz="1000">
              <a:latin typeface="Arial" panose="020B0604020202020204" pitchFamily="34" charset="0"/>
              <a:cs typeface="Arial" panose="020B0604020202020204" pitchFamily="34" charset="0"/>
            </a:rPr>
            <a:t>The GBCA does not endorse any self-assessed Green Star rating claimed to have been achieved by the use of Green Star Buildings. The GBCA offers a formal certification process for 4 Star ratings and above; this service provides for independent third party assessment to ensure all points claimed can be demonstrated to be achieved by the provision of the necessary documentary evidence. The use of Green Star Buildings without formal certification by the GBCA does not entitle the user or any other party to promote the Green Star rating claimed to have been achieved or to use any GBCA trade mark.</a:t>
          </a:r>
        </a:p>
        <a:p>
          <a:endParaRPr lang="en-AU" sz="1000">
            <a:latin typeface="Arial" panose="020B0604020202020204" pitchFamily="34" charset="0"/>
            <a:cs typeface="Arial" panose="020B0604020202020204" pitchFamily="34" charset="0"/>
          </a:endParaRPr>
        </a:p>
        <a:p>
          <a:r>
            <a:rPr lang="en-AU" sz="1000">
              <a:latin typeface="Arial" panose="020B0604020202020204" pitchFamily="34" charset="0"/>
              <a:cs typeface="Arial" panose="020B0604020202020204" pitchFamily="34" charset="0"/>
            </a:rPr>
            <a:t>The application of Green Star Buildings to the design and construction of all types of buildings (with the exception of single detached dwellings) is encouraged to assess and improve their sustainability outcomes. However, formal recognition of the Green Star rating – and the right to promote same – requires undertaking the formal certification process offered by the GBCA.</a:t>
          </a:r>
        </a:p>
        <a:p>
          <a:endParaRPr lang="en-AU" sz="1000">
            <a:latin typeface="Arial" panose="020B0604020202020204" pitchFamily="34" charset="0"/>
            <a:cs typeface="Arial" panose="020B0604020202020204" pitchFamily="34" charset="0"/>
          </a:endParaRPr>
        </a:p>
        <a:p>
          <a:r>
            <a:rPr lang="en-AU" sz="1000">
              <a:latin typeface="Arial" panose="020B0604020202020204" pitchFamily="34" charset="0"/>
              <a:cs typeface="Arial" panose="020B0604020202020204" pitchFamily="34" charset="0"/>
            </a:rPr>
            <a:t>You are only authorised to proceed to use Green Star and Green Star Buildings on this basis.</a:t>
          </a:r>
        </a:p>
        <a:p>
          <a:endParaRPr lang="en-AU" sz="1000">
            <a:latin typeface="Arial" panose="020B0604020202020204" pitchFamily="34" charset="0"/>
            <a:cs typeface="Arial" panose="020B0604020202020204" pitchFamily="34" charset="0"/>
          </a:endParaRPr>
        </a:p>
        <a:p>
          <a:r>
            <a:rPr lang="en-AU" sz="1000">
              <a:latin typeface="Arial" panose="020B0604020202020204" pitchFamily="34" charset="0"/>
              <a:cs typeface="Arial" panose="020B0604020202020204" pitchFamily="34" charset="0"/>
            </a:rPr>
            <a:t>All rights reserved.</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xdr:colOff>
      <xdr:row>0</xdr:row>
      <xdr:rowOff>144780</xdr:rowOff>
    </xdr:from>
    <xdr:to>
      <xdr:col>1</xdr:col>
      <xdr:colOff>3292804</xdr:colOff>
      <xdr:row>2</xdr:row>
      <xdr:rowOff>476160</xdr:rowOff>
    </xdr:to>
    <xdr:pic>
      <xdr:nvPicPr>
        <xdr:cNvPr id="2" name="Picture 1">
          <a:extLst>
            <a:ext uri="{FF2B5EF4-FFF2-40B4-BE49-F238E27FC236}">
              <a16:creationId xmlns:a16="http://schemas.microsoft.com/office/drawing/2014/main" id="{B0E3FCFA-65A3-4D85-82C0-C44ECAD670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78065" y="144780"/>
          <a:ext cx="3285184" cy="697140"/>
        </a:xfrm>
        <a:prstGeom prst="rect">
          <a:avLst/>
        </a:prstGeom>
      </xdr:spPr>
    </xdr:pic>
    <xdr:clientData/>
  </xdr:twoCellAnchor>
  <xdr:twoCellAnchor editAs="oneCell">
    <xdr:from>
      <xdr:col>1</xdr:col>
      <xdr:colOff>4511040</xdr:colOff>
      <xdr:row>1</xdr:row>
      <xdr:rowOff>53340</xdr:rowOff>
    </xdr:from>
    <xdr:to>
      <xdr:col>1</xdr:col>
      <xdr:colOff>7372350</xdr:colOff>
      <xdr:row>3</xdr:row>
      <xdr:rowOff>55245</xdr:rowOff>
    </xdr:to>
    <xdr:pic>
      <xdr:nvPicPr>
        <xdr:cNvPr id="4" name="Picture 3">
          <a:extLst>
            <a:ext uri="{FF2B5EF4-FFF2-40B4-BE49-F238E27FC236}">
              <a16:creationId xmlns:a16="http://schemas.microsoft.com/office/drawing/2014/main" id="{F35488BC-A2B8-4A8C-49C5-038E289B53E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09160" y="228600"/>
          <a:ext cx="2861310"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1</xdr:row>
      <xdr:rowOff>152400</xdr:rowOff>
    </xdr:from>
    <xdr:to>
      <xdr:col>3</xdr:col>
      <xdr:colOff>285750</xdr:colOff>
      <xdr:row>2</xdr:row>
      <xdr:rowOff>638175</xdr:rowOff>
    </xdr:to>
    <xdr:pic>
      <xdr:nvPicPr>
        <xdr:cNvPr id="2" name="Picture 1">
          <a:extLst>
            <a:ext uri="{FF2B5EF4-FFF2-40B4-BE49-F238E27FC236}">
              <a16:creationId xmlns:a16="http://schemas.microsoft.com/office/drawing/2014/main" id="{2DD50C00-38B5-4D12-8C5B-BAE3663120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333375"/>
          <a:ext cx="3067050" cy="666750"/>
        </a:xfrm>
        <a:prstGeom prst="rect">
          <a:avLst/>
        </a:prstGeom>
      </xdr:spPr>
    </xdr:pic>
    <xdr:clientData/>
  </xdr:twoCellAnchor>
  <xdr:twoCellAnchor editAs="oneCell">
    <xdr:from>
      <xdr:col>3</xdr:col>
      <xdr:colOff>647700</xdr:colOff>
      <xdr:row>1</xdr:row>
      <xdr:rowOff>137160</xdr:rowOff>
    </xdr:from>
    <xdr:to>
      <xdr:col>4</xdr:col>
      <xdr:colOff>121920</xdr:colOff>
      <xdr:row>2</xdr:row>
      <xdr:rowOff>678180</xdr:rowOff>
    </xdr:to>
    <xdr:pic>
      <xdr:nvPicPr>
        <xdr:cNvPr id="3" name="Picture 2">
          <a:extLst>
            <a:ext uri="{FF2B5EF4-FFF2-40B4-BE49-F238E27FC236}">
              <a16:creationId xmlns:a16="http://schemas.microsoft.com/office/drawing/2014/main" id="{F6DC5A84-19B3-AF43-09F7-3F9542E887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89020" y="312420"/>
          <a:ext cx="2857500" cy="7162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27</xdr:row>
          <xdr:rowOff>177800</xdr:rowOff>
        </xdr:from>
        <xdr:to>
          <xdr:col>5</xdr:col>
          <xdr:colOff>558800</xdr:colOff>
          <xdr:row>27</xdr:row>
          <xdr:rowOff>381000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5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177800</xdr:rowOff>
        </xdr:from>
        <xdr:to>
          <xdr:col>5</xdr:col>
          <xdr:colOff>558800</xdr:colOff>
          <xdr:row>28</xdr:row>
          <xdr:rowOff>381000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5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177800</xdr:rowOff>
        </xdr:from>
        <xdr:to>
          <xdr:col>5</xdr:col>
          <xdr:colOff>558800</xdr:colOff>
          <xdr:row>29</xdr:row>
          <xdr:rowOff>381000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5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177800</xdr:rowOff>
        </xdr:from>
        <xdr:to>
          <xdr:col>5</xdr:col>
          <xdr:colOff>558800</xdr:colOff>
          <xdr:row>30</xdr:row>
          <xdr:rowOff>381000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5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177800</xdr:rowOff>
        </xdr:from>
        <xdr:to>
          <xdr:col>5</xdr:col>
          <xdr:colOff>558800</xdr:colOff>
          <xdr:row>31</xdr:row>
          <xdr:rowOff>381000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5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177800</xdr:rowOff>
        </xdr:from>
        <xdr:to>
          <xdr:col>5</xdr:col>
          <xdr:colOff>558800</xdr:colOff>
          <xdr:row>34</xdr:row>
          <xdr:rowOff>381000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5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177800</xdr:rowOff>
        </xdr:from>
        <xdr:to>
          <xdr:col>5</xdr:col>
          <xdr:colOff>558800</xdr:colOff>
          <xdr:row>35</xdr:row>
          <xdr:rowOff>381000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5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177800</xdr:rowOff>
        </xdr:from>
        <xdr:to>
          <xdr:col>5</xdr:col>
          <xdr:colOff>558800</xdr:colOff>
          <xdr:row>38</xdr:row>
          <xdr:rowOff>381000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5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177800</xdr:rowOff>
        </xdr:from>
        <xdr:to>
          <xdr:col>5</xdr:col>
          <xdr:colOff>558800</xdr:colOff>
          <xdr:row>39</xdr:row>
          <xdr:rowOff>381000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5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177800</xdr:rowOff>
        </xdr:from>
        <xdr:to>
          <xdr:col>5</xdr:col>
          <xdr:colOff>558800</xdr:colOff>
          <xdr:row>40</xdr:row>
          <xdr:rowOff>381000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5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177800</xdr:rowOff>
        </xdr:from>
        <xdr:to>
          <xdr:col>5</xdr:col>
          <xdr:colOff>558800</xdr:colOff>
          <xdr:row>41</xdr:row>
          <xdr:rowOff>381000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5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177800</xdr:rowOff>
        </xdr:from>
        <xdr:to>
          <xdr:col>5</xdr:col>
          <xdr:colOff>558800</xdr:colOff>
          <xdr:row>42</xdr:row>
          <xdr:rowOff>381000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5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79</xdr:row>
          <xdr:rowOff>177800</xdr:rowOff>
        </xdr:from>
        <xdr:to>
          <xdr:col>5</xdr:col>
          <xdr:colOff>558800</xdr:colOff>
          <xdr:row>79</xdr:row>
          <xdr:rowOff>381000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5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90</xdr:row>
          <xdr:rowOff>177800</xdr:rowOff>
        </xdr:from>
        <xdr:to>
          <xdr:col>5</xdr:col>
          <xdr:colOff>558800</xdr:colOff>
          <xdr:row>90</xdr:row>
          <xdr:rowOff>381000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5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177800</xdr:rowOff>
        </xdr:from>
        <xdr:to>
          <xdr:col>5</xdr:col>
          <xdr:colOff>565150</xdr:colOff>
          <xdr:row>28</xdr:row>
          <xdr:rowOff>381000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5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184150</xdr:rowOff>
        </xdr:from>
        <xdr:to>
          <xdr:col>5</xdr:col>
          <xdr:colOff>565150</xdr:colOff>
          <xdr:row>27</xdr:row>
          <xdr:rowOff>406400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5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177800</xdr:rowOff>
        </xdr:from>
        <xdr:to>
          <xdr:col>5</xdr:col>
          <xdr:colOff>565150</xdr:colOff>
          <xdr:row>29</xdr:row>
          <xdr:rowOff>381000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5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177800</xdr:rowOff>
        </xdr:from>
        <xdr:to>
          <xdr:col>5</xdr:col>
          <xdr:colOff>565150</xdr:colOff>
          <xdr:row>30</xdr:row>
          <xdr:rowOff>381000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5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177800</xdr:rowOff>
        </xdr:from>
        <xdr:to>
          <xdr:col>5</xdr:col>
          <xdr:colOff>565150</xdr:colOff>
          <xdr:row>31</xdr:row>
          <xdr:rowOff>381000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5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177800</xdr:rowOff>
        </xdr:from>
        <xdr:to>
          <xdr:col>5</xdr:col>
          <xdr:colOff>565150</xdr:colOff>
          <xdr:row>32</xdr:row>
          <xdr:rowOff>381000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5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177800</xdr:rowOff>
        </xdr:from>
        <xdr:to>
          <xdr:col>5</xdr:col>
          <xdr:colOff>565150</xdr:colOff>
          <xdr:row>34</xdr:row>
          <xdr:rowOff>381000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5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177800</xdr:rowOff>
        </xdr:from>
        <xdr:to>
          <xdr:col>5</xdr:col>
          <xdr:colOff>565150</xdr:colOff>
          <xdr:row>35</xdr:row>
          <xdr:rowOff>381000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5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36</xdr:row>
          <xdr:rowOff>177800</xdr:rowOff>
        </xdr:from>
        <xdr:to>
          <xdr:col>5</xdr:col>
          <xdr:colOff>565150</xdr:colOff>
          <xdr:row>36</xdr:row>
          <xdr:rowOff>381000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5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177800</xdr:rowOff>
        </xdr:from>
        <xdr:to>
          <xdr:col>5</xdr:col>
          <xdr:colOff>565150</xdr:colOff>
          <xdr:row>38</xdr:row>
          <xdr:rowOff>381000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5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177800</xdr:rowOff>
        </xdr:from>
        <xdr:to>
          <xdr:col>5</xdr:col>
          <xdr:colOff>565150</xdr:colOff>
          <xdr:row>39</xdr:row>
          <xdr:rowOff>381000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5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177800</xdr:rowOff>
        </xdr:from>
        <xdr:to>
          <xdr:col>5</xdr:col>
          <xdr:colOff>565150</xdr:colOff>
          <xdr:row>40</xdr:row>
          <xdr:rowOff>381000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5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177800</xdr:rowOff>
        </xdr:from>
        <xdr:to>
          <xdr:col>5</xdr:col>
          <xdr:colOff>565150</xdr:colOff>
          <xdr:row>41</xdr:row>
          <xdr:rowOff>381000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5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177800</xdr:rowOff>
        </xdr:from>
        <xdr:to>
          <xdr:col>5</xdr:col>
          <xdr:colOff>565150</xdr:colOff>
          <xdr:row>42</xdr:row>
          <xdr:rowOff>381000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5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177800</xdr:rowOff>
        </xdr:from>
        <xdr:to>
          <xdr:col>5</xdr:col>
          <xdr:colOff>565150</xdr:colOff>
          <xdr:row>43</xdr:row>
          <xdr:rowOff>381000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5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55</xdr:row>
          <xdr:rowOff>177800</xdr:rowOff>
        </xdr:from>
        <xdr:to>
          <xdr:col>5</xdr:col>
          <xdr:colOff>565150</xdr:colOff>
          <xdr:row>55</xdr:row>
          <xdr:rowOff>381000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5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56</xdr:row>
          <xdr:rowOff>177800</xdr:rowOff>
        </xdr:from>
        <xdr:to>
          <xdr:col>5</xdr:col>
          <xdr:colOff>565150</xdr:colOff>
          <xdr:row>56</xdr:row>
          <xdr:rowOff>381000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5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66</xdr:row>
          <xdr:rowOff>177800</xdr:rowOff>
        </xdr:from>
        <xdr:to>
          <xdr:col>5</xdr:col>
          <xdr:colOff>565150</xdr:colOff>
          <xdr:row>66</xdr:row>
          <xdr:rowOff>381000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5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67</xdr:row>
          <xdr:rowOff>177800</xdr:rowOff>
        </xdr:from>
        <xdr:to>
          <xdr:col>5</xdr:col>
          <xdr:colOff>565150</xdr:colOff>
          <xdr:row>67</xdr:row>
          <xdr:rowOff>381000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5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90</xdr:row>
          <xdr:rowOff>177800</xdr:rowOff>
        </xdr:from>
        <xdr:to>
          <xdr:col>5</xdr:col>
          <xdr:colOff>565150</xdr:colOff>
          <xdr:row>90</xdr:row>
          <xdr:rowOff>381000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5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77</xdr:row>
          <xdr:rowOff>177800</xdr:rowOff>
        </xdr:from>
        <xdr:to>
          <xdr:col>5</xdr:col>
          <xdr:colOff>565150</xdr:colOff>
          <xdr:row>77</xdr:row>
          <xdr:rowOff>381000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5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78</xdr:row>
          <xdr:rowOff>177800</xdr:rowOff>
        </xdr:from>
        <xdr:to>
          <xdr:col>5</xdr:col>
          <xdr:colOff>565150</xdr:colOff>
          <xdr:row>78</xdr:row>
          <xdr:rowOff>381000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5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79</xdr:row>
          <xdr:rowOff>177800</xdr:rowOff>
        </xdr:from>
        <xdr:to>
          <xdr:col>5</xdr:col>
          <xdr:colOff>565150</xdr:colOff>
          <xdr:row>79</xdr:row>
          <xdr:rowOff>381000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5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27</xdr:row>
          <xdr:rowOff>177800</xdr:rowOff>
        </xdr:from>
        <xdr:to>
          <xdr:col>5</xdr:col>
          <xdr:colOff>565150</xdr:colOff>
          <xdr:row>27</xdr:row>
          <xdr:rowOff>381000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6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184150</xdr:rowOff>
        </xdr:from>
        <xdr:to>
          <xdr:col>5</xdr:col>
          <xdr:colOff>565150</xdr:colOff>
          <xdr:row>26</xdr:row>
          <xdr:rowOff>406400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6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177800</xdr:rowOff>
        </xdr:from>
        <xdr:to>
          <xdr:col>5</xdr:col>
          <xdr:colOff>565150</xdr:colOff>
          <xdr:row>28</xdr:row>
          <xdr:rowOff>381000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6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177800</xdr:rowOff>
        </xdr:from>
        <xdr:to>
          <xdr:col>5</xdr:col>
          <xdr:colOff>565150</xdr:colOff>
          <xdr:row>29</xdr:row>
          <xdr:rowOff>381000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6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30</xdr:row>
          <xdr:rowOff>177800</xdr:rowOff>
        </xdr:from>
        <xdr:to>
          <xdr:col>5</xdr:col>
          <xdr:colOff>565150</xdr:colOff>
          <xdr:row>30</xdr:row>
          <xdr:rowOff>381000</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6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177800</xdr:rowOff>
        </xdr:from>
        <xdr:to>
          <xdr:col>5</xdr:col>
          <xdr:colOff>565150</xdr:colOff>
          <xdr:row>31</xdr:row>
          <xdr:rowOff>381000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6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177800</xdr:rowOff>
        </xdr:from>
        <xdr:to>
          <xdr:col>5</xdr:col>
          <xdr:colOff>565150</xdr:colOff>
          <xdr:row>33</xdr:row>
          <xdr:rowOff>381000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6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177800</xdr:rowOff>
        </xdr:from>
        <xdr:to>
          <xdr:col>5</xdr:col>
          <xdr:colOff>565150</xdr:colOff>
          <xdr:row>34</xdr:row>
          <xdr:rowOff>381000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6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177800</xdr:rowOff>
        </xdr:from>
        <xdr:to>
          <xdr:col>5</xdr:col>
          <xdr:colOff>565150</xdr:colOff>
          <xdr:row>35</xdr:row>
          <xdr:rowOff>381000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6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37</xdr:row>
          <xdr:rowOff>177800</xdr:rowOff>
        </xdr:from>
        <xdr:to>
          <xdr:col>5</xdr:col>
          <xdr:colOff>565150</xdr:colOff>
          <xdr:row>37</xdr:row>
          <xdr:rowOff>381000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6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177800</xdr:rowOff>
        </xdr:from>
        <xdr:to>
          <xdr:col>5</xdr:col>
          <xdr:colOff>565150</xdr:colOff>
          <xdr:row>38</xdr:row>
          <xdr:rowOff>381000</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06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177800</xdr:rowOff>
        </xdr:from>
        <xdr:to>
          <xdr:col>5</xdr:col>
          <xdr:colOff>565150</xdr:colOff>
          <xdr:row>39</xdr:row>
          <xdr:rowOff>381000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6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177800</xdr:rowOff>
        </xdr:from>
        <xdr:to>
          <xdr:col>5</xdr:col>
          <xdr:colOff>565150</xdr:colOff>
          <xdr:row>40</xdr:row>
          <xdr:rowOff>381000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6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177800</xdr:rowOff>
        </xdr:from>
        <xdr:to>
          <xdr:col>5</xdr:col>
          <xdr:colOff>565150</xdr:colOff>
          <xdr:row>41</xdr:row>
          <xdr:rowOff>381000</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06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177800</xdr:rowOff>
        </xdr:from>
        <xdr:to>
          <xdr:col>5</xdr:col>
          <xdr:colOff>565150</xdr:colOff>
          <xdr:row>42</xdr:row>
          <xdr:rowOff>381000</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06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68</xdr:row>
          <xdr:rowOff>177800</xdr:rowOff>
        </xdr:from>
        <xdr:to>
          <xdr:col>5</xdr:col>
          <xdr:colOff>565150</xdr:colOff>
          <xdr:row>68</xdr:row>
          <xdr:rowOff>381000</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06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69</xdr:row>
          <xdr:rowOff>177800</xdr:rowOff>
        </xdr:from>
        <xdr:to>
          <xdr:col>5</xdr:col>
          <xdr:colOff>565150</xdr:colOff>
          <xdr:row>69</xdr:row>
          <xdr:rowOff>381000</xdr:rowOff>
        </xdr:to>
        <xdr:sp macro="" textlink="">
          <xdr:nvSpPr>
            <xdr:cNvPr id="22545" name="Check Box 17" hidden="1">
              <a:extLst>
                <a:ext uri="{63B3BB69-23CF-44E3-9099-C40C66FF867C}">
                  <a14:compatExt spid="_x0000_s22545"/>
                </a:ext>
                <a:ext uri="{FF2B5EF4-FFF2-40B4-BE49-F238E27FC236}">
                  <a16:creationId xmlns:a16="http://schemas.microsoft.com/office/drawing/2014/main" id="{00000000-0008-0000-0600-00001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79</xdr:row>
          <xdr:rowOff>177800</xdr:rowOff>
        </xdr:from>
        <xdr:to>
          <xdr:col>5</xdr:col>
          <xdr:colOff>565150</xdr:colOff>
          <xdr:row>79</xdr:row>
          <xdr:rowOff>381000</xdr:rowOff>
        </xdr:to>
        <xdr:sp macro="" textlink="">
          <xdr:nvSpPr>
            <xdr:cNvPr id="22546" name="Check Box 18" hidden="1">
              <a:extLst>
                <a:ext uri="{63B3BB69-23CF-44E3-9099-C40C66FF867C}">
                  <a14:compatExt spid="_x0000_s22546"/>
                </a:ext>
                <a:ext uri="{FF2B5EF4-FFF2-40B4-BE49-F238E27FC236}">
                  <a16:creationId xmlns:a16="http://schemas.microsoft.com/office/drawing/2014/main" id="{00000000-0008-0000-0600-00001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80</xdr:row>
          <xdr:rowOff>177800</xdr:rowOff>
        </xdr:from>
        <xdr:to>
          <xdr:col>5</xdr:col>
          <xdr:colOff>565150</xdr:colOff>
          <xdr:row>80</xdr:row>
          <xdr:rowOff>381000</xdr:rowOff>
        </xdr:to>
        <xdr:sp macro="" textlink="">
          <xdr:nvSpPr>
            <xdr:cNvPr id="22547" name="Check Box 19" hidden="1">
              <a:extLst>
                <a:ext uri="{63B3BB69-23CF-44E3-9099-C40C66FF867C}">
                  <a14:compatExt spid="_x0000_s22547"/>
                </a:ext>
                <a:ext uri="{FF2B5EF4-FFF2-40B4-BE49-F238E27FC236}">
                  <a16:creationId xmlns:a16="http://schemas.microsoft.com/office/drawing/2014/main" id="{00000000-0008-0000-0600-00001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102</xdr:row>
          <xdr:rowOff>177800</xdr:rowOff>
        </xdr:from>
        <xdr:to>
          <xdr:col>5</xdr:col>
          <xdr:colOff>565150</xdr:colOff>
          <xdr:row>102</xdr:row>
          <xdr:rowOff>381000</xdr:rowOff>
        </xdr:to>
        <xdr:sp macro="" textlink="">
          <xdr:nvSpPr>
            <xdr:cNvPr id="22548" name="Check Box 20" hidden="1">
              <a:extLst>
                <a:ext uri="{63B3BB69-23CF-44E3-9099-C40C66FF867C}">
                  <a14:compatExt spid="_x0000_s22548"/>
                </a:ext>
                <a:ext uri="{FF2B5EF4-FFF2-40B4-BE49-F238E27FC236}">
                  <a16:creationId xmlns:a16="http://schemas.microsoft.com/office/drawing/2014/main" id="{00000000-0008-0000-0600-00001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89</xdr:row>
          <xdr:rowOff>177800</xdr:rowOff>
        </xdr:from>
        <xdr:to>
          <xdr:col>5</xdr:col>
          <xdr:colOff>565150</xdr:colOff>
          <xdr:row>89</xdr:row>
          <xdr:rowOff>381000</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6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90</xdr:row>
          <xdr:rowOff>177800</xdr:rowOff>
        </xdr:from>
        <xdr:to>
          <xdr:col>5</xdr:col>
          <xdr:colOff>565150</xdr:colOff>
          <xdr:row>90</xdr:row>
          <xdr:rowOff>381000</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6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91</xdr:row>
          <xdr:rowOff>177800</xdr:rowOff>
        </xdr:from>
        <xdr:to>
          <xdr:col>5</xdr:col>
          <xdr:colOff>565150</xdr:colOff>
          <xdr:row>91</xdr:row>
          <xdr:rowOff>381000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6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7E6CB52-B613-4E79-A961-4449F53358D9}" name="ChangeLog" displayName="ChangeLog" ref="B17:K106" totalsRowShown="0" headerRowDxfId="107" dataDxfId="106">
  <autoFilter ref="B17:K106" xr:uid="{27E6CB52-B613-4E79-A961-4449F53358D9}"/>
  <tableColumns count="10">
    <tableColumn id="1" xr3:uid="{9D05830C-8004-4D2E-9F02-C78FFEE74090}" name="Release" dataDxfId="105"/>
    <tableColumn id="2" xr3:uid="{5DDC05BA-0188-479C-89D4-CFF172CE3008}" name="Date" dataDxfId="104"/>
    <tableColumn id="3" xr3:uid="{2B3BA3C3-7593-4359-93E1-4EE62A4B0254}" name="Sheets" dataDxfId="103"/>
    <tableColumn id="4" xr3:uid="{A2F50640-227B-4614-829B-A060CB8DAAFE}" name="Range" dataDxfId="102"/>
    <tableColumn id="5" xr3:uid="{AF03E621-9672-4CAB-92FB-7674D7488834}" name="New value" dataDxfId="101"/>
    <tableColumn id="6" xr3:uid="{AD0B0B43-FF0D-4C17-A5C4-101C01DF5EFD}" name="Old value" dataDxfId="100"/>
    <tableColumn id="7" xr3:uid="{9E7B8DDF-B678-46EF-8A39-E95D3111702F}" name="Summary of change" dataDxfId="99"/>
    <tableColumn id="8" xr3:uid="{85130E13-C7D7-4EA1-8F6E-7029EE94E023}" name="Author" dataDxfId="98"/>
    <tableColumn id="9" xr3:uid="{4C959A13-875D-47BF-A888-3AEBCE8A7DC5}" name="Reviewer" dataDxfId="97"/>
    <tableColumn id="10" xr3:uid="{3FDD173B-7A80-415D-A507-0A76C1B66830}" name="Approver" dataDxfId="96"/>
  </tableColumns>
  <tableStyleInfo name="GBCA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48BF574-6AE6-432D-81C5-C9116762E65B}" name="Releases" displayName="Releases" ref="B6:D11" totalsRowShown="0" headerRowDxfId="95" headerRowBorderDxfId="94">
  <autoFilter ref="B6:D11" xr:uid="{D48BF574-6AE6-432D-81C5-C9116762E65B}"/>
  <tableColumns count="3">
    <tableColumn id="1" xr3:uid="{832D4252-5B48-42DD-9836-6849E678D19E}" name="Rating tool" dataDxfId="93"/>
    <tableColumn id="2" xr3:uid="{6570DF8C-283E-40FF-9A38-F66E305E186E}" name="Release" dataDxfId="92"/>
    <tableColumn id="3" xr3:uid="{203459A9-8DDA-4E7D-8AB7-A0245BF98A45}" name="Summary of changes"/>
  </tableColumns>
  <tableStyleInfo name="GBCA Table" showFirstColumn="0" showLastColumn="0" showRowStripes="1" showColumnStripes="0"/>
</table>
</file>

<file path=xl/theme/theme1.xml><?xml version="1.0" encoding="utf-8"?>
<a:theme xmlns:a="http://schemas.openxmlformats.org/drawingml/2006/main" name="Green Star Design &amp; As Built">
  <a:themeElements>
    <a:clrScheme name="Design &amp; As Built">
      <a:dk1>
        <a:srgbClr val="3F4450"/>
      </a:dk1>
      <a:lt1>
        <a:srgbClr val="FFFFFF"/>
      </a:lt1>
      <a:dk2>
        <a:srgbClr val="1E3863"/>
      </a:dk2>
      <a:lt2>
        <a:srgbClr val="FFFFFF"/>
      </a:lt2>
      <a:accent1>
        <a:srgbClr val="1E3863"/>
      </a:accent1>
      <a:accent2>
        <a:srgbClr val="455277"/>
      </a:accent2>
      <a:accent3>
        <a:srgbClr val="8F9CB1"/>
      </a:accent3>
      <a:accent4>
        <a:srgbClr val="3F4450"/>
      </a:accent4>
      <a:accent5>
        <a:srgbClr val="9EA1A6"/>
      </a:accent5>
      <a:accent6>
        <a:srgbClr val="C4C6C9"/>
      </a:accent6>
      <a:hlink>
        <a:srgbClr val="1E3863"/>
      </a:hlink>
      <a:folHlink>
        <a:srgbClr val="C5C7CA"/>
      </a:folHlink>
    </a:clrScheme>
    <a:fontScheme name="Green Star Corporat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omments" Target="../comments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2.xml"/><Relationship Id="rId13" Type="http://schemas.openxmlformats.org/officeDocument/2006/relationships/ctrlProp" Target="../ctrlProps/ctrlProp47.xml"/><Relationship Id="rId18" Type="http://schemas.openxmlformats.org/officeDocument/2006/relationships/ctrlProp" Target="../ctrlProps/ctrlProp52.xml"/><Relationship Id="rId26" Type="http://schemas.openxmlformats.org/officeDocument/2006/relationships/ctrlProp" Target="../ctrlProps/ctrlProp60.xml"/><Relationship Id="rId3" Type="http://schemas.openxmlformats.org/officeDocument/2006/relationships/vmlDrawing" Target="../drawings/vmlDrawing3.vml"/><Relationship Id="rId21" Type="http://schemas.openxmlformats.org/officeDocument/2006/relationships/ctrlProp" Target="../ctrlProps/ctrlProp55.xml"/><Relationship Id="rId7" Type="http://schemas.openxmlformats.org/officeDocument/2006/relationships/ctrlProp" Target="../ctrlProps/ctrlProp41.xml"/><Relationship Id="rId12" Type="http://schemas.openxmlformats.org/officeDocument/2006/relationships/ctrlProp" Target="../ctrlProps/ctrlProp46.xml"/><Relationship Id="rId17" Type="http://schemas.openxmlformats.org/officeDocument/2006/relationships/ctrlProp" Target="../ctrlProps/ctrlProp51.xml"/><Relationship Id="rId25" Type="http://schemas.openxmlformats.org/officeDocument/2006/relationships/ctrlProp" Target="../ctrlProps/ctrlProp59.xml"/><Relationship Id="rId2" Type="http://schemas.openxmlformats.org/officeDocument/2006/relationships/drawing" Target="../drawings/drawing5.xml"/><Relationship Id="rId16" Type="http://schemas.openxmlformats.org/officeDocument/2006/relationships/ctrlProp" Target="../ctrlProps/ctrlProp50.xml"/><Relationship Id="rId20" Type="http://schemas.openxmlformats.org/officeDocument/2006/relationships/ctrlProp" Target="../ctrlProps/ctrlProp54.xml"/><Relationship Id="rId1" Type="http://schemas.openxmlformats.org/officeDocument/2006/relationships/printerSettings" Target="../printerSettings/printerSettings4.bin"/><Relationship Id="rId6" Type="http://schemas.openxmlformats.org/officeDocument/2006/relationships/ctrlProp" Target="../ctrlProps/ctrlProp40.xml"/><Relationship Id="rId11" Type="http://schemas.openxmlformats.org/officeDocument/2006/relationships/ctrlProp" Target="../ctrlProps/ctrlProp45.xml"/><Relationship Id="rId24" Type="http://schemas.openxmlformats.org/officeDocument/2006/relationships/ctrlProp" Target="../ctrlProps/ctrlProp58.xml"/><Relationship Id="rId5" Type="http://schemas.openxmlformats.org/officeDocument/2006/relationships/ctrlProp" Target="../ctrlProps/ctrlProp39.xml"/><Relationship Id="rId15" Type="http://schemas.openxmlformats.org/officeDocument/2006/relationships/ctrlProp" Target="../ctrlProps/ctrlProp49.xml"/><Relationship Id="rId23" Type="http://schemas.openxmlformats.org/officeDocument/2006/relationships/ctrlProp" Target="../ctrlProps/ctrlProp57.xml"/><Relationship Id="rId10" Type="http://schemas.openxmlformats.org/officeDocument/2006/relationships/ctrlProp" Target="../ctrlProps/ctrlProp44.xml"/><Relationship Id="rId19" Type="http://schemas.openxmlformats.org/officeDocument/2006/relationships/ctrlProp" Target="../ctrlProps/ctrlProp53.xml"/><Relationship Id="rId4" Type="http://schemas.openxmlformats.org/officeDocument/2006/relationships/ctrlProp" Target="../ctrlProps/ctrlProp38.xml"/><Relationship Id="rId9" Type="http://schemas.openxmlformats.org/officeDocument/2006/relationships/ctrlProp" Target="../ctrlProps/ctrlProp43.xml"/><Relationship Id="rId14" Type="http://schemas.openxmlformats.org/officeDocument/2006/relationships/ctrlProp" Target="../ctrlProps/ctrlProp48.xml"/><Relationship Id="rId22" Type="http://schemas.openxmlformats.org/officeDocument/2006/relationships/ctrlProp" Target="../ctrlProps/ctrlProp56.xml"/><Relationship Id="rId27"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56B6E-CAB1-435C-A5E1-7BF244C87A58}">
  <dimension ref="B2:C7"/>
  <sheetViews>
    <sheetView showGridLines="0" showRowColHeaders="0" workbookViewId="0">
      <selection activeCell="P30" sqref="P30"/>
    </sheetView>
  </sheetViews>
  <sheetFormatPr defaultColWidth="9" defaultRowHeight="14" x14ac:dyDescent="0.3"/>
  <cols>
    <col min="1" max="1" width="2.58203125" style="295" customWidth="1"/>
    <col min="2" max="16384" width="9" style="295"/>
  </cols>
  <sheetData>
    <row r="2" spans="2:3" ht="14.25" customHeight="1" x14ac:dyDescent="0.3"/>
    <row r="3" spans="2:3" ht="25" x14ac:dyDescent="0.3">
      <c r="B3" s="296"/>
    </row>
    <row r="7" spans="2:3" ht="25" x14ac:dyDescent="0.3">
      <c r="B7" s="298" t="s">
        <v>0</v>
      </c>
      <c r="C7" s="297"/>
    </row>
  </sheetData>
  <sheetProtection algorithmName="SHA-512" hashValue="cHoC/6AeM16uL7K1mLR97C1vjavBn5onoWioTgZXeEXivXVmtcDK6vllok7lvh0IdXdip7B6w4aDRfWcfAQ4NQ==" saltValue="RJAQMwOHVa4YslkBS2cgVA=="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90A5D-EA34-40BE-91E7-EB8897E623D7}">
  <dimension ref="A1:B44"/>
  <sheetViews>
    <sheetView showGridLines="0" topLeftCell="A4" workbookViewId="0">
      <selection activeCell="H25" sqref="H25"/>
    </sheetView>
  </sheetViews>
  <sheetFormatPr defaultColWidth="8.08203125" defaultRowHeight="14" x14ac:dyDescent="0.3"/>
  <cols>
    <col min="1" max="1" width="2.58203125" style="293" customWidth="1"/>
    <col min="2" max="2" width="116.08203125" style="293" customWidth="1"/>
    <col min="3" max="6" width="8.08203125" style="293"/>
    <col min="7" max="7" width="8.08203125" style="293" customWidth="1"/>
    <col min="8" max="16384" width="8.08203125" style="293"/>
  </cols>
  <sheetData>
    <row r="1" spans="1:2" x14ac:dyDescent="0.3">
      <c r="A1" s="292"/>
      <c r="B1" s="376"/>
    </row>
    <row r="2" spans="1:2" ht="14.25" customHeight="1" x14ac:dyDescent="0.25">
      <c r="B2" s="375"/>
    </row>
    <row r="3" spans="1:2" ht="41.25" customHeight="1" x14ac:dyDescent="0.3">
      <c r="B3" s="376"/>
    </row>
    <row r="4" spans="1:2" ht="62.25" customHeight="1" x14ac:dyDescent="0.3">
      <c r="B4" s="377" t="s">
        <v>1</v>
      </c>
    </row>
    <row r="5" spans="1:2" ht="18" customHeight="1" x14ac:dyDescent="0.3">
      <c r="B5" s="378" t="s">
        <v>2</v>
      </c>
    </row>
    <row r="6" spans="1:2" ht="14.25" customHeight="1" x14ac:dyDescent="0.3">
      <c r="B6" s="379" t="s">
        <v>3</v>
      </c>
    </row>
    <row r="7" spans="1:2" ht="14.25" customHeight="1" x14ac:dyDescent="0.3">
      <c r="B7" s="379" t="s">
        <v>4</v>
      </c>
    </row>
    <row r="8" spans="1:2" ht="14" customHeight="1" x14ac:dyDescent="0.3">
      <c r="B8" s="379" t="s">
        <v>5</v>
      </c>
    </row>
    <row r="9" spans="1:2" ht="37.5" x14ac:dyDescent="0.3">
      <c r="B9" s="379" t="s">
        <v>6</v>
      </c>
    </row>
    <row r="10" spans="1:2" ht="18" customHeight="1" x14ac:dyDescent="0.3">
      <c r="B10" s="376" t="s">
        <v>7</v>
      </c>
    </row>
    <row r="11" spans="1:2" ht="28.5" customHeight="1" x14ac:dyDescent="0.3">
      <c r="B11" s="379"/>
    </row>
    <row r="12" spans="1:2" ht="33" customHeight="1" x14ac:dyDescent="0.3">
      <c r="B12" s="378" t="s">
        <v>8</v>
      </c>
    </row>
    <row r="13" spans="1:2" ht="15" customHeight="1" x14ac:dyDescent="0.3">
      <c r="B13" s="380" t="s">
        <v>9</v>
      </c>
    </row>
    <row r="14" spans="1:2" ht="35" customHeight="1" x14ac:dyDescent="0.3">
      <c r="B14" s="381" t="s">
        <v>10</v>
      </c>
    </row>
    <row r="15" spans="1:2" ht="17.399999999999999" customHeight="1" x14ac:dyDescent="0.3">
      <c r="B15" s="379" t="s">
        <v>11</v>
      </c>
    </row>
    <row r="16" spans="1:2" ht="15.75" customHeight="1" x14ac:dyDescent="0.3">
      <c r="B16" s="381" t="s">
        <v>12</v>
      </c>
    </row>
    <row r="17" spans="2:2" ht="36" customHeight="1" x14ac:dyDescent="0.3">
      <c r="B17" s="379" t="s">
        <v>13</v>
      </c>
    </row>
    <row r="18" spans="2:2" ht="15" customHeight="1" x14ac:dyDescent="0.3">
      <c r="B18" s="380" t="s">
        <v>14</v>
      </c>
    </row>
    <row r="19" spans="2:2" ht="14.25" customHeight="1" x14ac:dyDescent="0.3">
      <c r="B19" s="381" t="s">
        <v>15</v>
      </c>
    </row>
    <row r="20" spans="2:2" ht="22.25" customHeight="1" x14ac:dyDescent="0.3">
      <c r="B20" s="376" t="s">
        <v>16</v>
      </c>
    </row>
    <row r="21" spans="2:2" ht="20" customHeight="1" x14ac:dyDescent="0.3">
      <c r="B21" s="381" t="s">
        <v>17</v>
      </c>
    </row>
    <row r="22" spans="2:2" ht="15" customHeight="1" x14ac:dyDescent="0.3">
      <c r="B22" s="376" t="s">
        <v>18</v>
      </c>
    </row>
    <row r="23" spans="2:2" ht="14.25" customHeight="1" x14ac:dyDescent="0.3">
      <c r="B23" s="381" t="s">
        <v>19</v>
      </c>
    </row>
    <row r="24" spans="2:2" ht="15" customHeight="1" x14ac:dyDescent="0.3">
      <c r="B24" s="379" t="s">
        <v>20</v>
      </c>
    </row>
    <row r="25" spans="2:2" ht="14.25" customHeight="1" x14ac:dyDescent="0.3">
      <c r="B25" s="381" t="s">
        <v>21</v>
      </c>
    </row>
    <row r="26" spans="2:2" ht="15" customHeight="1" x14ac:dyDescent="0.3">
      <c r="B26" s="376" t="s">
        <v>22</v>
      </c>
    </row>
    <row r="27" spans="2:2" ht="27" customHeight="1" x14ac:dyDescent="0.3">
      <c r="B27" s="381" t="s">
        <v>23</v>
      </c>
    </row>
    <row r="28" spans="2:2" ht="23.4" customHeight="1" x14ac:dyDescent="0.3">
      <c r="B28" s="379" t="s">
        <v>24</v>
      </c>
    </row>
    <row r="29" spans="2:2" ht="15" customHeight="1" x14ac:dyDescent="0.3">
      <c r="B29" s="380" t="s">
        <v>25</v>
      </c>
    </row>
    <row r="30" spans="2:2" ht="14.25" customHeight="1" x14ac:dyDescent="0.3">
      <c r="B30" s="381" t="s">
        <v>26</v>
      </c>
    </row>
    <row r="31" spans="2:2" ht="19.25" customHeight="1" x14ac:dyDescent="0.3">
      <c r="B31" s="376" t="s">
        <v>27</v>
      </c>
    </row>
    <row r="32" spans="2:2" ht="14.25" customHeight="1" x14ac:dyDescent="0.3">
      <c r="B32" s="381" t="s">
        <v>28</v>
      </c>
    </row>
    <row r="33" spans="2:2" ht="14.25" customHeight="1" x14ac:dyDescent="0.3">
      <c r="B33" s="379" t="s">
        <v>29</v>
      </c>
    </row>
    <row r="34" spans="2:2" ht="14.25" customHeight="1" x14ac:dyDescent="0.3">
      <c r="B34" s="381" t="s">
        <v>30</v>
      </c>
    </row>
    <row r="35" spans="2:2" ht="14.25" customHeight="1" x14ac:dyDescent="0.3">
      <c r="B35" s="379" t="s">
        <v>31</v>
      </c>
    </row>
    <row r="36" spans="2:2" ht="36.65" customHeight="1" x14ac:dyDescent="0.3">
      <c r="B36" s="379" t="s">
        <v>32</v>
      </c>
    </row>
    <row r="37" spans="2:2" ht="14.25" customHeight="1" x14ac:dyDescent="0.3">
      <c r="B37" s="381" t="s">
        <v>33</v>
      </c>
    </row>
    <row r="38" spans="2:2" ht="18.649999999999999" customHeight="1" x14ac:dyDescent="0.3">
      <c r="B38" s="376" t="s">
        <v>34</v>
      </c>
    </row>
    <row r="39" spans="2:2" ht="20" customHeight="1" x14ac:dyDescent="0.3">
      <c r="B39" s="381" t="s">
        <v>35</v>
      </c>
    </row>
    <row r="40" spans="2:2" ht="23" customHeight="1" x14ac:dyDescent="0.3">
      <c r="B40" s="376" t="s">
        <v>36</v>
      </c>
    </row>
    <row r="41" spans="2:2" ht="14.25" customHeight="1" x14ac:dyDescent="0.3">
      <c r="B41" s="381" t="s">
        <v>21</v>
      </c>
    </row>
    <row r="42" spans="2:2" ht="20.399999999999999" customHeight="1" x14ac:dyDescent="0.3">
      <c r="B42" s="379" t="s">
        <v>37</v>
      </c>
    </row>
    <row r="43" spans="2:2" x14ac:dyDescent="0.3">
      <c r="B43" s="381" t="s">
        <v>38</v>
      </c>
    </row>
    <row r="44" spans="2:2" x14ac:dyDescent="0.3">
      <c r="B44" s="376" t="s">
        <v>39</v>
      </c>
    </row>
  </sheetData>
  <sheetProtection algorithmName="SHA-512" hashValue="HsWiqCZUFyEuvI4qiL8RzUsWn0rMAbgwPFDthr6I+BOlKJMRhQ7bwnv+WLOsni7qqGsuOeDO3UAGFl3OxkPq/g==" saltValue="us2etM9KXIN19/snvonlxA=="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1C402-CC50-4E8A-A309-CDE66B41B606}">
  <dimension ref="A1:K106"/>
  <sheetViews>
    <sheetView showGridLines="0" workbookViewId="0">
      <selection activeCell="D136" sqref="D136:D137"/>
    </sheetView>
  </sheetViews>
  <sheetFormatPr defaultColWidth="8.08203125" defaultRowHeight="14" x14ac:dyDescent="0.3"/>
  <cols>
    <col min="1" max="1" width="2.4140625" style="295" customWidth="1"/>
    <col min="2" max="2" width="22.5" style="295" customWidth="1"/>
    <col min="3" max="3" width="13.6640625" style="300" customWidth="1"/>
    <col min="4" max="4" width="44.4140625" style="295" customWidth="1"/>
    <col min="5" max="5" width="18.08203125" style="295" customWidth="1"/>
    <col min="6" max="8" width="44.4140625" style="295" customWidth="1"/>
    <col min="9" max="9" width="9" style="295"/>
    <col min="10" max="11" width="8.08203125" style="295" customWidth="1"/>
    <col min="12" max="16384" width="8.08203125" style="295"/>
  </cols>
  <sheetData>
    <row r="1" spans="1:4" ht="14.25" customHeight="1" x14ac:dyDescent="0.3">
      <c r="A1" s="299"/>
    </row>
    <row r="2" spans="1:4" ht="14.25" customHeight="1" x14ac:dyDescent="0.3">
      <c r="B2" s="301"/>
    </row>
    <row r="3" spans="1:4" ht="67.5" customHeight="1" x14ac:dyDescent="0.3">
      <c r="B3" s="302"/>
      <c r="D3"/>
    </row>
    <row r="4" spans="1:4" ht="25.5" customHeight="1" x14ac:dyDescent="0.3">
      <c r="B4" s="298" t="s">
        <v>40</v>
      </c>
    </row>
    <row r="6" spans="1:4" ht="14.25" customHeight="1" x14ac:dyDescent="0.3">
      <c r="B6" s="313" t="s">
        <v>41</v>
      </c>
      <c r="C6" s="313" t="s">
        <v>42</v>
      </c>
      <c r="D6" s="314" t="s">
        <v>43</v>
      </c>
    </row>
    <row r="7" spans="1:4" ht="36.75" customHeight="1" x14ac:dyDescent="0.3">
      <c r="B7" s="315" t="s">
        <v>44</v>
      </c>
      <c r="C7" s="316" t="s">
        <v>45</v>
      </c>
      <c r="D7" s="317" t="s">
        <v>46</v>
      </c>
    </row>
    <row r="8" spans="1:4" ht="34.5" customHeight="1" x14ac:dyDescent="0.3">
      <c r="B8" s="318"/>
      <c r="C8" s="319"/>
      <c r="D8" s="320"/>
    </row>
    <row r="9" spans="1:4" ht="34.5" customHeight="1" x14ac:dyDescent="0.3">
      <c r="B9" s="318"/>
      <c r="C9" s="321"/>
      <c r="D9" s="320"/>
    </row>
    <row r="10" spans="1:4" ht="39" customHeight="1" x14ac:dyDescent="0.3">
      <c r="B10" s="318"/>
      <c r="C10" s="321"/>
      <c r="D10" s="320"/>
    </row>
    <row r="11" spans="1:4" ht="39.75" customHeight="1" x14ac:dyDescent="0.3">
      <c r="B11" s="318"/>
      <c r="C11" s="321"/>
      <c r="D11" s="320"/>
    </row>
    <row r="14" spans="1:4" x14ac:dyDescent="0.3">
      <c r="B14" s="305"/>
    </row>
    <row r="15" spans="1:4" ht="25" hidden="1" x14ac:dyDescent="0.3">
      <c r="A15" s="295" t="s">
        <v>47</v>
      </c>
      <c r="B15" s="294" t="s">
        <v>48</v>
      </c>
    </row>
    <row r="16" spans="1:4" hidden="1" x14ac:dyDescent="0.3">
      <c r="A16" s="295" t="s">
        <v>47</v>
      </c>
    </row>
    <row r="17" spans="1:11" ht="14.25" hidden="1" customHeight="1" x14ac:dyDescent="0.3">
      <c r="A17" s="295" t="s">
        <v>47</v>
      </c>
      <c r="B17" s="303" t="s">
        <v>42</v>
      </c>
      <c r="C17" s="303" t="s">
        <v>49</v>
      </c>
      <c r="D17" s="304" t="s">
        <v>50</v>
      </c>
      <c r="E17" s="304" t="s">
        <v>51</v>
      </c>
      <c r="F17" s="304" t="s">
        <v>52</v>
      </c>
      <c r="G17" s="304" t="s">
        <v>53</v>
      </c>
      <c r="H17" s="304" t="s">
        <v>54</v>
      </c>
      <c r="I17" s="304" t="s">
        <v>55</v>
      </c>
      <c r="J17" s="304" t="s">
        <v>56</v>
      </c>
      <c r="K17" s="304" t="s">
        <v>57</v>
      </c>
    </row>
    <row r="18" spans="1:11" hidden="1" x14ac:dyDescent="0.3">
      <c r="A18" s="295" t="s">
        <v>47</v>
      </c>
      <c r="B18" s="300">
        <v>1</v>
      </c>
      <c r="C18" s="306">
        <v>44133</v>
      </c>
      <c r="D18" s="307" t="s">
        <v>58</v>
      </c>
      <c r="E18" s="307" t="s">
        <v>59</v>
      </c>
      <c r="F18" s="308" t="s">
        <v>60</v>
      </c>
      <c r="G18" s="308"/>
      <c r="H18" s="308" t="s">
        <v>61</v>
      </c>
      <c r="I18" s="307" t="s">
        <v>62</v>
      </c>
      <c r="J18" s="307" t="s">
        <v>63</v>
      </c>
      <c r="K18" s="307" t="s">
        <v>64</v>
      </c>
    </row>
    <row r="19" spans="1:11" hidden="1" x14ac:dyDescent="0.3">
      <c r="A19" s="295" t="s">
        <v>47</v>
      </c>
      <c r="B19" s="300">
        <v>2</v>
      </c>
      <c r="C19" s="306">
        <v>44245</v>
      </c>
      <c r="D19" s="307" t="s">
        <v>48</v>
      </c>
      <c r="E19" s="307" t="s">
        <v>65</v>
      </c>
      <c r="F19" s="308" t="s">
        <v>66</v>
      </c>
      <c r="G19" s="308"/>
      <c r="H19" s="308" t="s">
        <v>67</v>
      </c>
      <c r="I19" s="307" t="s">
        <v>62</v>
      </c>
      <c r="J19" s="307" t="s">
        <v>64</v>
      </c>
      <c r="K19" s="307" t="s">
        <v>64</v>
      </c>
    </row>
    <row r="20" spans="1:11" ht="28" hidden="1" x14ac:dyDescent="0.3">
      <c r="A20" s="295" t="s">
        <v>47</v>
      </c>
      <c r="B20" s="300">
        <v>2</v>
      </c>
      <c r="C20" s="306">
        <v>44245</v>
      </c>
      <c r="D20" s="307" t="s">
        <v>1</v>
      </c>
      <c r="E20" s="307" t="s">
        <v>68</v>
      </c>
      <c r="F20" s="308" t="s">
        <v>69</v>
      </c>
      <c r="G20" s="308" t="s">
        <v>70</v>
      </c>
      <c r="H20" s="308" t="s">
        <v>71</v>
      </c>
      <c r="I20" s="307" t="s">
        <v>62</v>
      </c>
      <c r="J20" s="307" t="s">
        <v>64</v>
      </c>
      <c r="K20" s="307" t="s">
        <v>64</v>
      </c>
    </row>
    <row r="21" spans="1:11" ht="28" hidden="1" x14ac:dyDescent="0.3">
      <c r="A21" s="295" t="s">
        <v>47</v>
      </c>
      <c r="B21" s="300">
        <v>2</v>
      </c>
      <c r="C21" s="306">
        <v>44245</v>
      </c>
      <c r="D21" s="307" t="s">
        <v>1</v>
      </c>
      <c r="E21" s="307" t="s">
        <v>72</v>
      </c>
      <c r="F21" s="308" t="s">
        <v>69</v>
      </c>
      <c r="G21" s="309" t="s">
        <v>73</v>
      </c>
      <c r="H21" s="308" t="s">
        <v>71</v>
      </c>
      <c r="I21" s="307" t="s">
        <v>62</v>
      </c>
      <c r="J21" s="307" t="s">
        <v>64</v>
      </c>
      <c r="K21" s="307" t="s">
        <v>64</v>
      </c>
    </row>
    <row r="22" spans="1:11" ht="28" hidden="1" x14ac:dyDescent="0.3">
      <c r="A22" s="295" t="s">
        <v>47</v>
      </c>
      <c r="B22" s="300">
        <v>2</v>
      </c>
      <c r="C22" s="306">
        <v>44245</v>
      </c>
      <c r="D22" s="307" t="s">
        <v>1</v>
      </c>
      <c r="E22" s="310" t="s">
        <v>74</v>
      </c>
      <c r="F22" s="308" t="s">
        <v>75</v>
      </c>
      <c r="G22" s="308"/>
      <c r="H22" s="308" t="s">
        <v>71</v>
      </c>
      <c r="I22" s="307" t="s">
        <v>62</v>
      </c>
      <c r="J22" s="307" t="s">
        <v>64</v>
      </c>
      <c r="K22" s="307" t="s">
        <v>64</v>
      </c>
    </row>
    <row r="23" spans="1:11" ht="28" hidden="1" x14ac:dyDescent="0.3">
      <c r="A23" s="295" t="s">
        <v>47</v>
      </c>
      <c r="B23" s="300">
        <v>2</v>
      </c>
      <c r="C23" s="306">
        <v>44245</v>
      </c>
      <c r="D23" s="307" t="s">
        <v>1</v>
      </c>
      <c r="E23" s="307" t="s">
        <v>76</v>
      </c>
      <c r="F23" s="308" t="s">
        <v>77</v>
      </c>
      <c r="G23" s="308" t="s">
        <v>78</v>
      </c>
      <c r="H23" s="308" t="s">
        <v>79</v>
      </c>
      <c r="I23" s="307" t="s">
        <v>62</v>
      </c>
      <c r="J23" s="307" t="s">
        <v>64</v>
      </c>
      <c r="K23" s="307" t="s">
        <v>64</v>
      </c>
    </row>
    <row r="24" spans="1:11" ht="56" hidden="1" x14ac:dyDescent="0.3">
      <c r="A24" s="295" t="s">
        <v>47</v>
      </c>
      <c r="B24" s="300">
        <v>2</v>
      </c>
      <c r="C24" s="306">
        <v>44245</v>
      </c>
      <c r="D24" s="307" t="s">
        <v>1</v>
      </c>
      <c r="E24" s="307" t="s">
        <v>80</v>
      </c>
      <c r="F24" s="308" t="s">
        <v>81</v>
      </c>
      <c r="G24" s="308" t="s">
        <v>82</v>
      </c>
      <c r="H24" s="308" t="s">
        <v>79</v>
      </c>
      <c r="I24" s="307" t="s">
        <v>62</v>
      </c>
      <c r="J24" s="307" t="s">
        <v>64</v>
      </c>
      <c r="K24" s="307" t="s">
        <v>64</v>
      </c>
    </row>
    <row r="25" spans="1:11" ht="28" hidden="1" x14ac:dyDescent="0.3">
      <c r="A25" s="295" t="s">
        <v>47</v>
      </c>
      <c r="B25" s="300">
        <v>2</v>
      </c>
      <c r="C25" s="306">
        <v>44245</v>
      </c>
      <c r="D25" s="307" t="s">
        <v>25</v>
      </c>
      <c r="E25" s="307" t="s">
        <v>68</v>
      </c>
      <c r="F25" s="308" t="s">
        <v>25</v>
      </c>
      <c r="G25" s="308" t="s">
        <v>83</v>
      </c>
      <c r="H25" s="308" t="s">
        <v>79</v>
      </c>
      <c r="I25" s="307" t="s">
        <v>62</v>
      </c>
      <c r="J25" s="307" t="s">
        <v>64</v>
      </c>
      <c r="K25" s="307" t="s">
        <v>64</v>
      </c>
    </row>
    <row r="26" spans="1:11" hidden="1" x14ac:dyDescent="0.3">
      <c r="A26" s="295" t="s">
        <v>47</v>
      </c>
      <c r="B26" s="300">
        <v>2</v>
      </c>
      <c r="C26" s="306">
        <v>44245</v>
      </c>
      <c r="D26" s="307" t="s">
        <v>25</v>
      </c>
      <c r="E26" s="310" t="s">
        <v>84</v>
      </c>
      <c r="F26" s="308" t="s">
        <v>85</v>
      </c>
      <c r="G26" s="308"/>
      <c r="H26" s="308" t="s">
        <v>86</v>
      </c>
      <c r="I26" s="307" t="s">
        <v>62</v>
      </c>
      <c r="J26" s="307" t="s">
        <v>64</v>
      </c>
      <c r="K26" s="307" t="s">
        <v>64</v>
      </c>
    </row>
    <row r="27" spans="1:11" hidden="1" x14ac:dyDescent="0.3">
      <c r="A27" s="295" t="s">
        <v>47</v>
      </c>
      <c r="B27" s="300">
        <v>2</v>
      </c>
      <c r="C27" s="306">
        <v>44245</v>
      </c>
      <c r="D27" s="307" t="s">
        <v>25</v>
      </c>
      <c r="E27" s="307" t="s">
        <v>72</v>
      </c>
      <c r="F27" s="308" t="s">
        <v>87</v>
      </c>
      <c r="G27" s="308" t="s">
        <v>69</v>
      </c>
      <c r="H27" s="308" t="s">
        <v>86</v>
      </c>
      <c r="I27" s="307" t="s">
        <v>62</v>
      </c>
      <c r="J27" s="307" t="s">
        <v>64</v>
      </c>
      <c r="K27" s="307" t="s">
        <v>64</v>
      </c>
    </row>
    <row r="28" spans="1:11" hidden="1" x14ac:dyDescent="0.3">
      <c r="A28" s="295" t="s">
        <v>47</v>
      </c>
      <c r="B28" s="300">
        <v>2</v>
      </c>
      <c r="C28" s="306">
        <v>44245</v>
      </c>
      <c r="D28" s="307" t="s">
        <v>25</v>
      </c>
      <c r="E28" s="307" t="s">
        <v>88</v>
      </c>
      <c r="F28" s="309" t="s">
        <v>89</v>
      </c>
      <c r="G28" s="309" t="s">
        <v>90</v>
      </c>
      <c r="H28" s="308" t="s">
        <v>91</v>
      </c>
      <c r="I28" s="307" t="s">
        <v>62</v>
      </c>
      <c r="J28" s="307" t="s">
        <v>64</v>
      </c>
      <c r="K28" s="307" t="s">
        <v>64</v>
      </c>
    </row>
    <row r="29" spans="1:11" ht="28" hidden="1" x14ac:dyDescent="0.3">
      <c r="A29" s="295" t="s">
        <v>47</v>
      </c>
      <c r="B29" s="300">
        <v>2</v>
      </c>
      <c r="C29" s="306">
        <v>44250</v>
      </c>
      <c r="D29" s="307" t="s">
        <v>25</v>
      </c>
      <c r="E29" s="311" t="s">
        <v>92</v>
      </c>
      <c r="F29" s="308" t="s">
        <v>93</v>
      </c>
      <c r="G29" s="308"/>
      <c r="H29" s="308" t="s">
        <v>94</v>
      </c>
      <c r="I29" s="307" t="s">
        <v>62</v>
      </c>
      <c r="J29" s="307" t="s">
        <v>64</v>
      </c>
      <c r="K29" s="307" t="s">
        <v>64</v>
      </c>
    </row>
    <row r="30" spans="1:11" ht="28" hidden="1" x14ac:dyDescent="0.3">
      <c r="A30" s="295" t="s">
        <v>47</v>
      </c>
      <c r="B30" s="300">
        <v>2</v>
      </c>
      <c r="C30" s="306">
        <v>44250</v>
      </c>
      <c r="D30" s="307" t="s">
        <v>25</v>
      </c>
      <c r="E30" s="307" t="s">
        <v>76</v>
      </c>
      <c r="F30" s="308" t="s">
        <v>10</v>
      </c>
      <c r="G30" s="308" t="s">
        <v>69</v>
      </c>
      <c r="H30" s="308" t="s">
        <v>94</v>
      </c>
      <c r="I30" s="307" t="s">
        <v>62</v>
      </c>
      <c r="J30" s="307" t="s">
        <v>64</v>
      </c>
      <c r="K30" s="307" t="s">
        <v>64</v>
      </c>
    </row>
    <row r="31" spans="1:11" ht="28" hidden="1" x14ac:dyDescent="0.3">
      <c r="A31" s="295" t="s">
        <v>47</v>
      </c>
      <c r="B31" s="300">
        <v>2</v>
      </c>
      <c r="C31" s="306">
        <v>44250</v>
      </c>
      <c r="D31" s="307" t="s">
        <v>25</v>
      </c>
      <c r="E31" s="307" t="s">
        <v>95</v>
      </c>
      <c r="F31" s="308" t="s">
        <v>96</v>
      </c>
      <c r="G31" s="308"/>
      <c r="H31" s="308" t="s">
        <v>97</v>
      </c>
      <c r="I31" s="307" t="s">
        <v>62</v>
      </c>
      <c r="J31" s="307" t="s">
        <v>64</v>
      </c>
      <c r="K31" s="307" t="s">
        <v>64</v>
      </c>
    </row>
    <row r="32" spans="1:11" ht="28" hidden="1" x14ac:dyDescent="0.3">
      <c r="A32" s="295" t="s">
        <v>47</v>
      </c>
      <c r="B32" s="300">
        <v>2</v>
      </c>
      <c r="C32" s="306">
        <v>44250</v>
      </c>
      <c r="D32" s="307" t="s">
        <v>25</v>
      </c>
      <c r="E32" s="307" t="s">
        <v>98</v>
      </c>
      <c r="F32" s="308" t="s">
        <v>99</v>
      </c>
      <c r="G32" s="308" t="s">
        <v>69</v>
      </c>
      <c r="H32" s="308" t="s">
        <v>97</v>
      </c>
      <c r="I32" s="307" t="s">
        <v>62</v>
      </c>
      <c r="J32" s="307" t="s">
        <v>64</v>
      </c>
      <c r="K32" s="307" t="s">
        <v>64</v>
      </c>
    </row>
    <row r="33" spans="1:11" ht="28" hidden="1" x14ac:dyDescent="0.3">
      <c r="A33" s="295" t="s">
        <v>47</v>
      </c>
      <c r="B33" s="300">
        <v>2</v>
      </c>
      <c r="C33" s="306">
        <v>44250</v>
      </c>
      <c r="D33" s="307" t="s">
        <v>25</v>
      </c>
      <c r="E33" s="307" t="s">
        <v>100</v>
      </c>
      <c r="F33" s="308" t="s">
        <v>101</v>
      </c>
      <c r="G33" s="308" t="s">
        <v>102</v>
      </c>
      <c r="H33" s="308" t="s">
        <v>97</v>
      </c>
      <c r="I33" s="307" t="s">
        <v>62</v>
      </c>
      <c r="J33" s="307" t="s">
        <v>64</v>
      </c>
      <c r="K33" s="307" t="s">
        <v>64</v>
      </c>
    </row>
    <row r="34" spans="1:11" ht="28" hidden="1" x14ac:dyDescent="0.3">
      <c r="A34" s="295" t="s">
        <v>47</v>
      </c>
      <c r="B34" s="300">
        <v>2</v>
      </c>
      <c r="C34" s="306">
        <v>44250</v>
      </c>
      <c r="D34" s="307" t="s">
        <v>25</v>
      </c>
      <c r="E34" s="307" t="s">
        <v>103</v>
      </c>
      <c r="F34" s="308" t="s">
        <v>104</v>
      </c>
      <c r="G34" s="308" t="s">
        <v>69</v>
      </c>
      <c r="H34" s="308" t="s">
        <v>97</v>
      </c>
      <c r="I34" s="307" t="s">
        <v>62</v>
      </c>
      <c r="J34" s="307" t="s">
        <v>64</v>
      </c>
      <c r="K34" s="307" t="s">
        <v>64</v>
      </c>
    </row>
    <row r="35" spans="1:11" ht="28" hidden="1" x14ac:dyDescent="0.3">
      <c r="A35" s="295" t="s">
        <v>47</v>
      </c>
      <c r="B35" s="300">
        <v>2</v>
      </c>
      <c r="C35" s="306">
        <v>44250</v>
      </c>
      <c r="D35" s="307" t="s">
        <v>25</v>
      </c>
      <c r="E35" s="307" t="s">
        <v>105</v>
      </c>
      <c r="F35" s="308" t="s">
        <v>106</v>
      </c>
      <c r="G35" s="308" t="s">
        <v>69</v>
      </c>
      <c r="H35" s="308" t="s">
        <v>97</v>
      </c>
      <c r="I35" s="307" t="s">
        <v>62</v>
      </c>
      <c r="J35" s="307" t="s">
        <v>64</v>
      </c>
      <c r="K35" s="307" t="s">
        <v>64</v>
      </c>
    </row>
    <row r="36" spans="1:11" ht="28" hidden="1" x14ac:dyDescent="0.3">
      <c r="A36" s="295" t="s">
        <v>47</v>
      </c>
      <c r="B36" s="300">
        <v>2</v>
      </c>
      <c r="C36" s="306">
        <v>44250</v>
      </c>
      <c r="D36" s="307" t="s">
        <v>25</v>
      </c>
      <c r="E36" s="307" t="s">
        <v>107</v>
      </c>
      <c r="F36" s="308" t="s">
        <v>108</v>
      </c>
      <c r="G36" s="308" t="s">
        <v>69</v>
      </c>
      <c r="H36" s="308" t="s">
        <v>97</v>
      </c>
      <c r="I36" s="307" t="s">
        <v>62</v>
      </c>
      <c r="J36" s="307" t="s">
        <v>64</v>
      </c>
      <c r="K36" s="307" t="s">
        <v>64</v>
      </c>
    </row>
    <row r="37" spans="1:11" ht="28" hidden="1" x14ac:dyDescent="0.3">
      <c r="A37" s="295" t="s">
        <v>47</v>
      </c>
      <c r="B37" s="300">
        <v>2</v>
      </c>
      <c r="C37" s="306">
        <v>44250</v>
      </c>
      <c r="D37" s="307" t="s">
        <v>25</v>
      </c>
      <c r="E37" s="307" t="s">
        <v>109</v>
      </c>
      <c r="F37" s="308" t="s">
        <v>110</v>
      </c>
      <c r="G37" s="308" t="s">
        <v>69</v>
      </c>
      <c r="H37" s="308" t="s">
        <v>97</v>
      </c>
      <c r="I37" s="307" t="s">
        <v>62</v>
      </c>
      <c r="J37" s="307" t="s">
        <v>64</v>
      </c>
      <c r="K37" s="307" t="s">
        <v>64</v>
      </c>
    </row>
    <row r="38" spans="1:11" hidden="1" x14ac:dyDescent="0.3">
      <c r="A38" s="295" t="s">
        <v>47</v>
      </c>
      <c r="B38" s="300">
        <v>2</v>
      </c>
      <c r="C38" s="306">
        <v>44250</v>
      </c>
      <c r="D38" s="307" t="s">
        <v>25</v>
      </c>
      <c r="E38" s="307" t="s">
        <v>111</v>
      </c>
      <c r="F38" s="308" t="s">
        <v>112</v>
      </c>
      <c r="G38" s="308" t="s">
        <v>69</v>
      </c>
      <c r="H38" s="308" t="s">
        <v>113</v>
      </c>
      <c r="I38" s="307" t="s">
        <v>62</v>
      </c>
      <c r="J38" s="307" t="s">
        <v>64</v>
      </c>
      <c r="K38" s="307" t="s">
        <v>64</v>
      </c>
    </row>
    <row r="39" spans="1:11" hidden="1" x14ac:dyDescent="0.3">
      <c r="A39" s="295" t="s">
        <v>47</v>
      </c>
      <c r="B39" s="300">
        <v>2</v>
      </c>
      <c r="C39" s="306">
        <v>44250</v>
      </c>
      <c r="D39" s="307" t="s">
        <v>25</v>
      </c>
      <c r="E39" s="307" t="s">
        <v>114</v>
      </c>
      <c r="F39" s="308" t="s">
        <v>112</v>
      </c>
      <c r="G39" s="308" t="s">
        <v>69</v>
      </c>
      <c r="H39" s="308" t="s">
        <v>113</v>
      </c>
      <c r="I39" s="307" t="s">
        <v>62</v>
      </c>
      <c r="J39" s="307" t="s">
        <v>64</v>
      </c>
      <c r="K39" s="307" t="s">
        <v>64</v>
      </c>
    </row>
    <row r="40" spans="1:11" hidden="1" x14ac:dyDescent="0.3">
      <c r="A40" s="295" t="s">
        <v>47</v>
      </c>
      <c r="B40" s="300">
        <v>2</v>
      </c>
      <c r="C40" s="306">
        <v>44250</v>
      </c>
      <c r="D40" s="307" t="s">
        <v>25</v>
      </c>
      <c r="E40" s="307" t="s">
        <v>115</v>
      </c>
      <c r="F40" s="308" t="s">
        <v>116</v>
      </c>
      <c r="G40" s="308" t="s">
        <v>69</v>
      </c>
      <c r="H40" s="308" t="s">
        <v>113</v>
      </c>
      <c r="I40" s="307" t="s">
        <v>62</v>
      </c>
      <c r="J40" s="307" t="s">
        <v>64</v>
      </c>
      <c r="K40" s="307" t="s">
        <v>64</v>
      </c>
    </row>
    <row r="41" spans="1:11" hidden="1" x14ac:dyDescent="0.3">
      <c r="A41" s="295" t="s">
        <v>47</v>
      </c>
      <c r="B41" s="300">
        <v>2</v>
      </c>
      <c r="C41" s="306">
        <v>44250</v>
      </c>
      <c r="D41" s="307" t="s">
        <v>25</v>
      </c>
      <c r="E41" s="307" t="s">
        <v>117</v>
      </c>
      <c r="F41" s="308" t="s">
        <v>112</v>
      </c>
      <c r="G41" s="308" t="s">
        <v>69</v>
      </c>
      <c r="H41" s="308" t="s">
        <v>118</v>
      </c>
      <c r="I41" s="307" t="s">
        <v>62</v>
      </c>
      <c r="J41" s="307" t="s">
        <v>64</v>
      </c>
      <c r="K41" s="307" t="s">
        <v>64</v>
      </c>
    </row>
    <row r="42" spans="1:11" hidden="1" x14ac:dyDescent="0.3">
      <c r="A42" s="295" t="s">
        <v>47</v>
      </c>
      <c r="B42" s="300">
        <v>2</v>
      </c>
      <c r="C42" s="306">
        <v>44250</v>
      </c>
      <c r="D42" s="307" t="s">
        <v>25</v>
      </c>
      <c r="E42" s="307" t="s">
        <v>119</v>
      </c>
      <c r="F42" s="308" t="s">
        <v>116</v>
      </c>
      <c r="G42" s="308" t="s">
        <v>69</v>
      </c>
      <c r="H42" s="308" t="s">
        <v>118</v>
      </c>
      <c r="I42" s="307" t="s">
        <v>62</v>
      </c>
      <c r="J42" s="307" t="s">
        <v>64</v>
      </c>
      <c r="K42" s="307" t="s">
        <v>64</v>
      </c>
    </row>
    <row r="43" spans="1:11" hidden="1" x14ac:dyDescent="0.3">
      <c r="A43" s="295" t="s">
        <v>47</v>
      </c>
      <c r="B43" s="300">
        <v>2</v>
      </c>
      <c r="C43" s="306">
        <v>44250</v>
      </c>
      <c r="D43" s="307" t="s">
        <v>25</v>
      </c>
      <c r="E43" s="307" t="s">
        <v>120</v>
      </c>
      <c r="F43" s="308" t="s">
        <v>116</v>
      </c>
      <c r="G43" s="308" t="s">
        <v>69</v>
      </c>
      <c r="H43" s="308" t="s">
        <v>118</v>
      </c>
      <c r="I43" s="307" t="s">
        <v>62</v>
      </c>
      <c r="J43" s="307" t="s">
        <v>64</v>
      </c>
      <c r="K43" s="307" t="s">
        <v>64</v>
      </c>
    </row>
    <row r="44" spans="1:11" hidden="1" x14ac:dyDescent="0.3">
      <c r="A44" s="295" t="s">
        <v>47</v>
      </c>
      <c r="B44" s="300">
        <v>2</v>
      </c>
      <c r="C44" s="306">
        <v>44250</v>
      </c>
      <c r="D44" s="307" t="s">
        <v>25</v>
      </c>
      <c r="E44" s="307" t="s">
        <v>121</v>
      </c>
      <c r="F44" s="308" t="s">
        <v>116</v>
      </c>
      <c r="G44" s="308" t="s">
        <v>69</v>
      </c>
      <c r="H44" s="308" t="s">
        <v>122</v>
      </c>
      <c r="I44" s="307" t="s">
        <v>62</v>
      </c>
      <c r="J44" s="307" t="s">
        <v>64</v>
      </c>
      <c r="K44" s="307" t="s">
        <v>64</v>
      </c>
    </row>
    <row r="45" spans="1:11" hidden="1" x14ac:dyDescent="0.3">
      <c r="A45" s="295" t="s">
        <v>47</v>
      </c>
      <c r="B45" s="300">
        <v>2</v>
      </c>
      <c r="C45" s="306">
        <v>44250</v>
      </c>
      <c r="D45" s="307" t="s">
        <v>25</v>
      </c>
      <c r="E45" s="307" t="s">
        <v>123</v>
      </c>
      <c r="F45" s="308" t="s">
        <v>116</v>
      </c>
      <c r="G45" s="308" t="s">
        <v>69</v>
      </c>
      <c r="H45" s="308" t="s">
        <v>122</v>
      </c>
      <c r="I45" s="307" t="s">
        <v>62</v>
      </c>
      <c r="J45" s="307" t="s">
        <v>64</v>
      </c>
      <c r="K45" s="307" t="s">
        <v>64</v>
      </c>
    </row>
    <row r="46" spans="1:11" hidden="1" x14ac:dyDescent="0.3">
      <c r="A46" s="295" t="s">
        <v>47</v>
      </c>
      <c r="B46" s="300">
        <v>2</v>
      </c>
      <c r="C46" s="306">
        <v>44250</v>
      </c>
      <c r="D46" s="307" t="s">
        <v>25</v>
      </c>
      <c r="E46" s="307" t="s">
        <v>124</v>
      </c>
      <c r="F46" s="308" t="s">
        <v>116</v>
      </c>
      <c r="G46" s="308" t="s">
        <v>69</v>
      </c>
      <c r="H46" s="308" t="s">
        <v>122</v>
      </c>
      <c r="I46" s="307" t="s">
        <v>62</v>
      </c>
      <c r="J46" s="307" t="s">
        <v>64</v>
      </c>
      <c r="K46" s="307" t="s">
        <v>64</v>
      </c>
    </row>
    <row r="47" spans="1:11" hidden="1" x14ac:dyDescent="0.3">
      <c r="A47" s="295" t="s">
        <v>47</v>
      </c>
      <c r="B47" s="300">
        <v>2</v>
      </c>
      <c r="C47" s="306">
        <v>44250</v>
      </c>
      <c r="D47" s="307" t="s">
        <v>25</v>
      </c>
      <c r="E47" s="307" t="s">
        <v>125</v>
      </c>
      <c r="F47" s="308" t="s">
        <v>126</v>
      </c>
      <c r="G47" s="308" t="s">
        <v>69</v>
      </c>
      <c r="H47" s="308" t="s">
        <v>127</v>
      </c>
      <c r="I47" s="307" t="s">
        <v>62</v>
      </c>
      <c r="J47" s="307" t="s">
        <v>64</v>
      </c>
      <c r="K47" s="307" t="s">
        <v>64</v>
      </c>
    </row>
    <row r="48" spans="1:11" ht="42" hidden="1" x14ac:dyDescent="0.3">
      <c r="A48" s="295" t="s">
        <v>47</v>
      </c>
      <c r="B48" s="300">
        <v>2</v>
      </c>
      <c r="C48" s="306">
        <v>44250</v>
      </c>
      <c r="D48" s="307" t="s">
        <v>25</v>
      </c>
      <c r="E48" s="307" t="s">
        <v>128</v>
      </c>
      <c r="F48" s="308" t="s">
        <v>129</v>
      </c>
      <c r="G48" s="308" t="s">
        <v>69</v>
      </c>
      <c r="H48" s="308"/>
      <c r="I48" s="307" t="s">
        <v>62</v>
      </c>
      <c r="J48" s="307" t="s">
        <v>64</v>
      </c>
      <c r="K48" s="307" t="s">
        <v>64</v>
      </c>
    </row>
    <row r="49" spans="1:11" hidden="1" x14ac:dyDescent="0.3">
      <c r="A49" s="295" t="s">
        <v>47</v>
      </c>
      <c r="B49" s="300">
        <v>2</v>
      </c>
      <c r="C49" s="306">
        <v>44250</v>
      </c>
      <c r="D49" s="307" t="s">
        <v>25</v>
      </c>
      <c r="E49" s="307" t="s">
        <v>80</v>
      </c>
      <c r="F49" s="308" t="s">
        <v>130</v>
      </c>
      <c r="G49" s="308" t="s">
        <v>131</v>
      </c>
      <c r="H49" s="308" t="s">
        <v>132</v>
      </c>
      <c r="I49" s="307" t="s">
        <v>62</v>
      </c>
      <c r="J49" s="307" t="s">
        <v>64</v>
      </c>
      <c r="K49" s="307" t="s">
        <v>64</v>
      </c>
    </row>
    <row r="50" spans="1:11" ht="70" hidden="1" x14ac:dyDescent="0.3">
      <c r="A50" s="295" t="s">
        <v>47</v>
      </c>
      <c r="B50" s="300">
        <v>2</v>
      </c>
      <c r="C50" s="306">
        <v>44250</v>
      </c>
      <c r="D50" s="307" t="s">
        <v>25</v>
      </c>
      <c r="E50" s="307" t="s">
        <v>133</v>
      </c>
      <c r="F50" s="309" t="s">
        <v>134</v>
      </c>
      <c r="G50" s="308" t="s">
        <v>69</v>
      </c>
      <c r="H50" s="308" t="s">
        <v>135</v>
      </c>
      <c r="I50" s="307" t="s">
        <v>62</v>
      </c>
      <c r="J50" s="307" t="s">
        <v>64</v>
      </c>
      <c r="K50" s="307" t="s">
        <v>64</v>
      </c>
    </row>
    <row r="51" spans="1:11" hidden="1" x14ac:dyDescent="0.3">
      <c r="A51" s="295" t="s">
        <v>47</v>
      </c>
      <c r="B51" s="300">
        <v>3</v>
      </c>
      <c r="C51" s="306">
        <v>44403</v>
      </c>
      <c r="D51" s="307" t="s">
        <v>1</v>
      </c>
      <c r="E51" s="307" t="s">
        <v>136</v>
      </c>
      <c r="F51" s="308" t="s">
        <v>137</v>
      </c>
      <c r="G51" s="308" t="s">
        <v>131</v>
      </c>
      <c r="H51" s="308" t="s">
        <v>138</v>
      </c>
      <c r="I51" s="307" t="s">
        <v>62</v>
      </c>
      <c r="J51" s="307" t="s">
        <v>139</v>
      </c>
      <c r="K51" s="307" t="s">
        <v>139</v>
      </c>
    </row>
    <row r="52" spans="1:11" ht="112" hidden="1" x14ac:dyDescent="0.3">
      <c r="A52" s="295" t="s">
        <v>47</v>
      </c>
      <c r="B52" s="300">
        <v>3</v>
      </c>
      <c r="C52" s="306">
        <v>44403</v>
      </c>
      <c r="D52" s="307" t="s">
        <v>1</v>
      </c>
      <c r="E52" s="307" t="s">
        <v>140</v>
      </c>
      <c r="F52" s="308" t="s">
        <v>141</v>
      </c>
      <c r="G52" s="308" t="s">
        <v>142</v>
      </c>
      <c r="H52" s="308" t="s">
        <v>138</v>
      </c>
      <c r="I52" s="307" t="s">
        <v>62</v>
      </c>
      <c r="J52" s="307" t="s">
        <v>139</v>
      </c>
      <c r="K52" s="307" t="s">
        <v>139</v>
      </c>
    </row>
    <row r="53" spans="1:11" hidden="1" x14ac:dyDescent="0.3">
      <c r="A53" s="295" t="s">
        <v>47</v>
      </c>
      <c r="B53" s="300">
        <v>3</v>
      </c>
      <c r="C53" s="306">
        <v>44403</v>
      </c>
      <c r="D53" s="307" t="s">
        <v>25</v>
      </c>
      <c r="E53" s="307" t="s">
        <v>80</v>
      </c>
      <c r="F53" s="308" t="s">
        <v>137</v>
      </c>
      <c r="G53" s="308" t="s">
        <v>130</v>
      </c>
      <c r="H53" s="308" t="s">
        <v>138</v>
      </c>
      <c r="I53" s="307" t="s">
        <v>62</v>
      </c>
      <c r="J53" s="307" t="s">
        <v>139</v>
      </c>
      <c r="K53" s="307" t="s">
        <v>139</v>
      </c>
    </row>
    <row r="54" spans="1:11" hidden="1" x14ac:dyDescent="0.3">
      <c r="A54" s="295" t="s">
        <v>47</v>
      </c>
      <c r="B54" s="300">
        <v>3</v>
      </c>
      <c r="C54" s="306">
        <v>44403</v>
      </c>
      <c r="D54" s="307" t="s">
        <v>25</v>
      </c>
      <c r="E54" s="307" t="s">
        <v>125</v>
      </c>
      <c r="F54" s="308" t="s">
        <v>69</v>
      </c>
      <c r="G54" s="308" t="s">
        <v>126</v>
      </c>
      <c r="H54" s="308" t="s">
        <v>143</v>
      </c>
      <c r="I54" s="307" t="s">
        <v>62</v>
      </c>
      <c r="J54" s="307" t="s">
        <v>139</v>
      </c>
      <c r="K54" s="307" t="s">
        <v>139</v>
      </c>
    </row>
    <row r="55" spans="1:11" ht="42" hidden="1" x14ac:dyDescent="0.3">
      <c r="A55" s="295" t="s">
        <v>47</v>
      </c>
      <c r="B55" s="300">
        <v>3</v>
      </c>
      <c r="C55" s="306">
        <v>44403</v>
      </c>
      <c r="D55" s="307" t="s">
        <v>25</v>
      </c>
      <c r="E55" s="307" t="s">
        <v>128</v>
      </c>
      <c r="F55" s="308" t="s">
        <v>69</v>
      </c>
      <c r="G55" s="309" t="s">
        <v>129</v>
      </c>
      <c r="H55" s="308" t="s">
        <v>144</v>
      </c>
      <c r="I55" s="307" t="s">
        <v>62</v>
      </c>
      <c r="J55" s="307" t="s">
        <v>139</v>
      </c>
      <c r="K55" s="307" t="s">
        <v>139</v>
      </c>
    </row>
    <row r="56" spans="1:11" hidden="1" x14ac:dyDescent="0.3">
      <c r="A56" s="295" t="s">
        <v>47</v>
      </c>
      <c r="B56" s="300">
        <v>3</v>
      </c>
      <c r="C56" s="306">
        <v>44403</v>
      </c>
      <c r="D56" s="307" t="s">
        <v>25</v>
      </c>
      <c r="E56" s="307" t="s">
        <v>145</v>
      </c>
      <c r="F56" s="308" t="s">
        <v>96</v>
      </c>
      <c r="G56" s="308"/>
      <c r="H56" s="308" t="s">
        <v>146</v>
      </c>
      <c r="I56" s="307" t="s">
        <v>62</v>
      </c>
      <c r="J56" s="307" t="s">
        <v>139</v>
      </c>
      <c r="K56" s="307" t="s">
        <v>139</v>
      </c>
    </row>
    <row r="57" spans="1:11" hidden="1" x14ac:dyDescent="0.3">
      <c r="A57" s="295" t="s">
        <v>47</v>
      </c>
      <c r="B57" s="300">
        <v>3</v>
      </c>
      <c r="C57" s="306">
        <v>44403</v>
      </c>
      <c r="D57" s="307" t="s">
        <v>25</v>
      </c>
      <c r="E57" s="307" t="s">
        <v>147</v>
      </c>
      <c r="F57" s="308" t="s">
        <v>148</v>
      </c>
      <c r="G57" s="308" t="s">
        <v>99</v>
      </c>
      <c r="H57" s="308" t="s">
        <v>138</v>
      </c>
      <c r="I57" s="307" t="s">
        <v>62</v>
      </c>
      <c r="J57" s="307" t="s">
        <v>139</v>
      </c>
      <c r="K57" s="307" t="s">
        <v>139</v>
      </c>
    </row>
    <row r="58" spans="1:11" ht="28" hidden="1" x14ac:dyDescent="0.3">
      <c r="A58" s="295" t="s">
        <v>47</v>
      </c>
      <c r="B58" s="300">
        <v>3</v>
      </c>
      <c r="C58" s="306">
        <v>44403</v>
      </c>
      <c r="D58" s="307" t="s">
        <v>25</v>
      </c>
      <c r="E58" s="307" t="s">
        <v>149</v>
      </c>
      <c r="F58" s="308" t="s">
        <v>150</v>
      </c>
      <c r="G58" s="308" t="s">
        <v>69</v>
      </c>
      <c r="H58" s="308" t="s">
        <v>151</v>
      </c>
      <c r="I58" s="307" t="s">
        <v>62</v>
      </c>
      <c r="J58" s="307" t="s">
        <v>139</v>
      </c>
      <c r="K58" s="307" t="s">
        <v>139</v>
      </c>
    </row>
    <row r="59" spans="1:11" hidden="1" x14ac:dyDescent="0.3">
      <c r="A59" s="295" t="s">
        <v>47</v>
      </c>
      <c r="B59" s="300">
        <v>3</v>
      </c>
      <c r="C59" s="306">
        <v>44403</v>
      </c>
      <c r="D59" s="307" t="s">
        <v>25</v>
      </c>
      <c r="E59" s="307" t="s">
        <v>152</v>
      </c>
      <c r="F59" s="308" t="s">
        <v>116</v>
      </c>
      <c r="G59" s="308" t="s">
        <v>69</v>
      </c>
      <c r="H59" s="308" t="s">
        <v>113</v>
      </c>
      <c r="I59" s="307" t="s">
        <v>62</v>
      </c>
      <c r="J59" s="307" t="s">
        <v>139</v>
      </c>
      <c r="K59" s="307" t="s">
        <v>139</v>
      </c>
    </row>
    <row r="60" spans="1:11" hidden="1" x14ac:dyDescent="0.3">
      <c r="A60" s="295" t="s">
        <v>47</v>
      </c>
      <c r="B60" s="300">
        <v>3</v>
      </c>
      <c r="C60" s="306">
        <v>44403</v>
      </c>
      <c r="D60" s="307" t="s">
        <v>25</v>
      </c>
      <c r="E60" s="307" t="s">
        <v>153</v>
      </c>
      <c r="F60" s="308" t="s">
        <v>116</v>
      </c>
      <c r="G60" s="308" t="s">
        <v>69</v>
      </c>
      <c r="H60" s="308" t="s">
        <v>118</v>
      </c>
      <c r="I60" s="307" t="s">
        <v>62</v>
      </c>
      <c r="J60" s="307" t="s">
        <v>139</v>
      </c>
      <c r="K60" s="307" t="s">
        <v>139</v>
      </c>
    </row>
    <row r="61" spans="1:11" hidden="1" x14ac:dyDescent="0.3">
      <c r="A61" s="295" t="s">
        <v>47</v>
      </c>
      <c r="B61" s="300">
        <v>3</v>
      </c>
      <c r="C61" s="306">
        <v>44403</v>
      </c>
      <c r="D61" s="307" t="s">
        <v>25</v>
      </c>
      <c r="E61" s="307" t="s">
        <v>154</v>
      </c>
      <c r="F61" s="308" t="s">
        <v>116</v>
      </c>
      <c r="G61" s="308" t="s">
        <v>69</v>
      </c>
      <c r="H61" s="308" t="s">
        <v>122</v>
      </c>
      <c r="I61" s="307" t="s">
        <v>62</v>
      </c>
      <c r="J61" s="307" t="s">
        <v>139</v>
      </c>
      <c r="K61" s="307" t="s">
        <v>139</v>
      </c>
    </row>
    <row r="62" spans="1:11" ht="70" hidden="1" x14ac:dyDescent="0.3">
      <c r="A62" s="295" t="s">
        <v>47</v>
      </c>
      <c r="B62" s="300">
        <v>3</v>
      </c>
      <c r="C62" s="306">
        <v>44403</v>
      </c>
      <c r="D62" s="307" t="s">
        <v>25</v>
      </c>
      <c r="E62" s="307" t="s">
        <v>133</v>
      </c>
      <c r="F62" s="309" t="s">
        <v>155</v>
      </c>
      <c r="G62" s="309" t="s">
        <v>156</v>
      </c>
      <c r="H62" s="308" t="s">
        <v>157</v>
      </c>
      <c r="I62" s="307" t="s">
        <v>62</v>
      </c>
      <c r="J62" s="307" t="s">
        <v>139</v>
      </c>
      <c r="K62" s="307" t="s">
        <v>139</v>
      </c>
    </row>
    <row r="63" spans="1:11" hidden="1" x14ac:dyDescent="0.3">
      <c r="A63" s="295" t="s">
        <v>47</v>
      </c>
      <c r="B63" s="300">
        <v>3</v>
      </c>
      <c r="C63" s="306">
        <v>44421</v>
      </c>
      <c r="D63" s="307" t="s">
        <v>25</v>
      </c>
      <c r="E63" s="307" t="s">
        <v>158</v>
      </c>
      <c r="F63" s="308" t="s">
        <v>159</v>
      </c>
      <c r="G63" s="308" t="s">
        <v>69</v>
      </c>
      <c r="H63" s="308" t="s">
        <v>160</v>
      </c>
      <c r="I63" s="307" t="s">
        <v>62</v>
      </c>
      <c r="J63" s="307" t="s">
        <v>139</v>
      </c>
      <c r="K63" s="307" t="s">
        <v>139</v>
      </c>
    </row>
    <row r="64" spans="1:11" ht="42" hidden="1" x14ac:dyDescent="0.3">
      <c r="A64" s="295" t="s">
        <v>47</v>
      </c>
      <c r="B64" s="300">
        <v>3</v>
      </c>
      <c r="C64" s="306">
        <v>44421</v>
      </c>
      <c r="D64" s="307" t="s">
        <v>25</v>
      </c>
      <c r="E64" s="307" t="s">
        <v>161</v>
      </c>
      <c r="F64" s="308" t="s">
        <v>162</v>
      </c>
      <c r="G64" s="308" t="s">
        <v>69</v>
      </c>
      <c r="H64" s="308" t="s">
        <v>163</v>
      </c>
      <c r="I64" s="307" t="s">
        <v>62</v>
      </c>
      <c r="J64" s="307" t="s">
        <v>139</v>
      </c>
      <c r="K64" s="307" t="s">
        <v>139</v>
      </c>
    </row>
    <row r="65" spans="1:11" ht="28" hidden="1" x14ac:dyDescent="0.3">
      <c r="A65" s="295" t="s">
        <v>47</v>
      </c>
      <c r="B65" s="300">
        <v>3</v>
      </c>
      <c r="C65" s="306">
        <v>44421</v>
      </c>
      <c r="D65" s="307" t="s">
        <v>25</v>
      </c>
      <c r="E65" s="307" t="s">
        <v>164</v>
      </c>
      <c r="F65" s="308" t="s">
        <v>165</v>
      </c>
      <c r="G65" s="308" t="s">
        <v>69</v>
      </c>
      <c r="H65" s="308" t="s">
        <v>166</v>
      </c>
      <c r="I65" s="307" t="s">
        <v>62</v>
      </c>
      <c r="J65" s="307" t="s">
        <v>139</v>
      </c>
      <c r="K65" s="307" t="s">
        <v>139</v>
      </c>
    </row>
    <row r="66" spans="1:11" ht="28" hidden="1" x14ac:dyDescent="0.3">
      <c r="A66" s="295" t="s">
        <v>47</v>
      </c>
      <c r="B66" s="300">
        <v>3</v>
      </c>
      <c r="C66" s="306">
        <v>44421</v>
      </c>
      <c r="D66" s="307" t="s">
        <v>25</v>
      </c>
      <c r="E66" s="307" t="s">
        <v>100</v>
      </c>
      <c r="F66" s="308" t="s">
        <v>167</v>
      </c>
      <c r="G66" s="308" t="s">
        <v>69</v>
      </c>
      <c r="H66" s="308" t="s">
        <v>168</v>
      </c>
      <c r="I66" s="307" t="s">
        <v>62</v>
      </c>
      <c r="J66" s="307" t="s">
        <v>139</v>
      </c>
      <c r="K66" s="307" t="s">
        <v>139</v>
      </c>
    </row>
    <row r="67" spans="1:11" hidden="1" x14ac:dyDescent="0.3">
      <c r="A67" s="295" t="s">
        <v>47</v>
      </c>
      <c r="B67" s="300">
        <v>3</v>
      </c>
      <c r="C67" s="306">
        <v>44421</v>
      </c>
      <c r="D67" s="307" t="s">
        <v>25</v>
      </c>
      <c r="E67" s="307" t="s">
        <v>169</v>
      </c>
      <c r="F67" s="308" t="s">
        <v>26</v>
      </c>
      <c r="G67" s="308" t="s">
        <v>69</v>
      </c>
      <c r="H67" s="308" t="s">
        <v>170</v>
      </c>
      <c r="I67" s="307" t="s">
        <v>62</v>
      </c>
      <c r="J67" s="307" t="s">
        <v>139</v>
      </c>
      <c r="K67" s="307" t="s">
        <v>139</v>
      </c>
    </row>
    <row r="68" spans="1:11" hidden="1" x14ac:dyDescent="0.3">
      <c r="A68" s="295" t="s">
        <v>47</v>
      </c>
      <c r="B68" s="300">
        <v>3</v>
      </c>
      <c r="C68" s="306">
        <v>44421</v>
      </c>
      <c r="D68" s="307" t="s">
        <v>25</v>
      </c>
      <c r="E68" s="307" t="s">
        <v>171</v>
      </c>
      <c r="F68" s="308">
        <v>0</v>
      </c>
      <c r="G68" s="308" t="s">
        <v>69</v>
      </c>
      <c r="H68" s="308" t="s">
        <v>170</v>
      </c>
      <c r="I68" s="307" t="s">
        <v>62</v>
      </c>
      <c r="J68" s="307" t="s">
        <v>139</v>
      </c>
      <c r="K68" s="307" t="s">
        <v>139</v>
      </c>
    </row>
    <row r="69" spans="1:11" hidden="1" x14ac:dyDescent="0.3">
      <c r="A69" s="295" t="s">
        <v>47</v>
      </c>
      <c r="B69" s="300">
        <v>3</v>
      </c>
      <c r="C69" s="306">
        <v>44421</v>
      </c>
      <c r="D69" s="307" t="s">
        <v>25</v>
      </c>
      <c r="E69" s="307" t="s">
        <v>172</v>
      </c>
      <c r="F69" s="308" t="s">
        <v>28</v>
      </c>
      <c r="G69" s="308" t="s">
        <v>69</v>
      </c>
      <c r="H69" s="308" t="s">
        <v>173</v>
      </c>
      <c r="I69" s="307" t="s">
        <v>62</v>
      </c>
      <c r="J69" s="307" t="s">
        <v>139</v>
      </c>
      <c r="K69" s="307" t="s">
        <v>139</v>
      </c>
    </row>
    <row r="70" spans="1:11" hidden="1" x14ac:dyDescent="0.3">
      <c r="A70" s="295" t="s">
        <v>47</v>
      </c>
      <c r="B70" s="300">
        <v>3</v>
      </c>
      <c r="C70" s="306">
        <v>44421</v>
      </c>
      <c r="D70" s="307" t="s">
        <v>25</v>
      </c>
      <c r="E70" s="307" t="s">
        <v>174</v>
      </c>
      <c r="F70" s="308">
        <v>1</v>
      </c>
      <c r="G70" s="308" t="s">
        <v>69</v>
      </c>
      <c r="H70" s="308" t="s">
        <v>173</v>
      </c>
      <c r="I70" s="307" t="s">
        <v>62</v>
      </c>
      <c r="J70" s="307" t="s">
        <v>139</v>
      </c>
      <c r="K70" s="307" t="s">
        <v>139</v>
      </c>
    </row>
    <row r="71" spans="1:11" hidden="1" x14ac:dyDescent="0.3">
      <c r="A71" s="295" t="s">
        <v>47</v>
      </c>
      <c r="B71" s="300">
        <v>3</v>
      </c>
      <c r="C71" s="306">
        <v>44421</v>
      </c>
      <c r="D71" s="307" t="s">
        <v>25</v>
      </c>
      <c r="E71" s="307" t="s">
        <v>175</v>
      </c>
      <c r="F71" s="308" t="s">
        <v>30</v>
      </c>
      <c r="G71" s="308" t="s">
        <v>69</v>
      </c>
      <c r="H71" s="308" t="s">
        <v>176</v>
      </c>
      <c r="I71" s="307" t="s">
        <v>62</v>
      </c>
      <c r="J71" s="307" t="s">
        <v>139</v>
      </c>
      <c r="K71" s="307" t="s">
        <v>139</v>
      </c>
    </row>
    <row r="72" spans="1:11" hidden="1" x14ac:dyDescent="0.3">
      <c r="A72" s="295" t="s">
        <v>47</v>
      </c>
      <c r="B72" s="300">
        <v>3</v>
      </c>
      <c r="C72" s="306">
        <v>44421</v>
      </c>
      <c r="D72" s="307" t="s">
        <v>25</v>
      </c>
      <c r="E72" s="307" t="s">
        <v>177</v>
      </c>
      <c r="F72" s="308">
        <v>2</v>
      </c>
      <c r="G72" s="308" t="s">
        <v>69</v>
      </c>
      <c r="H72" s="308" t="s">
        <v>176</v>
      </c>
      <c r="I72" s="307" t="s">
        <v>62</v>
      </c>
      <c r="J72" s="307" t="s">
        <v>139</v>
      </c>
      <c r="K72" s="307" t="s">
        <v>139</v>
      </c>
    </row>
    <row r="73" spans="1:11" hidden="1" x14ac:dyDescent="0.3">
      <c r="A73" s="295" t="s">
        <v>47</v>
      </c>
      <c r="B73" s="300">
        <v>3</v>
      </c>
      <c r="C73" s="306">
        <v>44421</v>
      </c>
      <c r="D73" s="307" t="s">
        <v>25</v>
      </c>
      <c r="E73" s="307" t="s">
        <v>178</v>
      </c>
      <c r="F73" s="308" t="s">
        <v>179</v>
      </c>
      <c r="G73" s="308" t="s">
        <v>69</v>
      </c>
      <c r="H73" s="308" t="s">
        <v>180</v>
      </c>
      <c r="I73" s="307" t="s">
        <v>62</v>
      </c>
      <c r="J73" s="307" t="s">
        <v>139</v>
      </c>
      <c r="K73" s="307" t="s">
        <v>139</v>
      </c>
    </row>
    <row r="74" spans="1:11" ht="42" hidden="1" x14ac:dyDescent="0.3">
      <c r="A74" s="295" t="s">
        <v>47</v>
      </c>
      <c r="B74" s="300">
        <v>3</v>
      </c>
      <c r="C74" s="306">
        <v>44421</v>
      </c>
      <c r="D74" s="307" t="s">
        <v>25</v>
      </c>
      <c r="E74" s="307" t="s">
        <v>181</v>
      </c>
      <c r="F74" s="309" t="s">
        <v>182</v>
      </c>
      <c r="G74" s="308" t="s">
        <v>69</v>
      </c>
      <c r="H74" s="308" t="s">
        <v>183</v>
      </c>
      <c r="I74" s="307" t="s">
        <v>62</v>
      </c>
      <c r="J74" s="307" t="s">
        <v>139</v>
      </c>
      <c r="K74" s="307" t="s">
        <v>139</v>
      </c>
    </row>
    <row r="75" spans="1:11" ht="42" hidden="1" x14ac:dyDescent="0.3">
      <c r="A75" s="295" t="s">
        <v>47</v>
      </c>
      <c r="B75" s="300">
        <v>3</v>
      </c>
      <c r="C75" s="306">
        <v>44421</v>
      </c>
      <c r="D75" s="307" t="s">
        <v>25</v>
      </c>
      <c r="E75" s="307" t="s">
        <v>184</v>
      </c>
      <c r="F75" s="309" t="s">
        <v>185</v>
      </c>
      <c r="G75" s="308" t="s">
        <v>69</v>
      </c>
      <c r="H75" s="308" t="s">
        <v>183</v>
      </c>
      <c r="I75" s="307" t="s">
        <v>62</v>
      </c>
      <c r="J75" s="307" t="s">
        <v>139</v>
      </c>
      <c r="K75" s="307" t="s">
        <v>139</v>
      </c>
    </row>
    <row r="76" spans="1:11" ht="42" hidden="1" x14ac:dyDescent="0.3">
      <c r="A76" s="295" t="s">
        <v>47</v>
      </c>
      <c r="B76" s="300">
        <v>3</v>
      </c>
      <c r="C76" s="306">
        <v>44421</v>
      </c>
      <c r="D76" s="307" t="s">
        <v>25</v>
      </c>
      <c r="E76" s="307" t="s">
        <v>186</v>
      </c>
      <c r="F76" s="309" t="s">
        <v>187</v>
      </c>
      <c r="G76" s="308" t="s">
        <v>69</v>
      </c>
      <c r="H76" s="308" t="s">
        <v>183</v>
      </c>
      <c r="I76" s="307" t="s">
        <v>62</v>
      </c>
      <c r="J76" s="307" t="s">
        <v>139</v>
      </c>
      <c r="K76" s="307" t="s">
        <v>139</v>
      </c>
    </row>
    <row r="77" spans="1:11" ht="42" hidden="1" x14ac:dyDescent="0.3">
      <c r="A77" s="295" t="s">
        <v>47</v>
      </c>
      <c r="B77" s="300">
        <v>3</v>
      </c>
      <c r="C77" s="306">
        <v>44421</v>
      </c>
      <c r="D77" s="307" t="s">
        <v>25</v>
      </c>
      <c r="E77" s="307" t="s">
        <v>188</v>
      </c>
      <c r="F77" s="309" t="s">
        <v>189</v>
      </c>
      <c r="G77" s="308" t="s">
        <v>69</v>
      </c>
      <c r="H77" s="308" t="s">
        <v>183</v>
      </c>
      <c r="I77" s="307" t="s">
        <v>62</v>
      </c>
      <c r="J77" s="307" t="s">
        <v>139</v>
      </c>
      <c r="K77" s="307" t="s">
        <v>139</v>
      </c>
    </row>
    <row r="78" spans="1:11" ht="56" hidden="1" x14ac:dyDescent="0.3">
      <c r="A78" s="295" t="s">
        <v>47</v>
      </c>
      <c r="B78" s="300">
        <v>3</v>
      </c>
      <c r="C78" s="306">
        <v>44421</v>
      </c>
      <c r="D78" s="307" t="s">
        <v>25</v>
      </c>
      <c r="E78" s="307" t="s">
        <v>190</v>
      </c>
      <c r="F78" s="309" t="s">
        <v>191</v>
      </c>
      <c r="G78" s="309" t="s">
        <v>192</v>
      </c>
      <c r="H78" s="308" t="s">
        <v>193</v>
      </c>
      <c r="I78" s="307" t="s">
        <v>62</v>
      </c>
      <c r="J78" s="307" t="s">
        <v>139</v>
      </c>
      <c r="K78" s="307" t="s">
        <v>139</v>
      </c>
    </row>
    <row r="79" spans="1:11" ht="28" hidden="1" x14ac:dyDescent="0.3">
      <c r="A79" s="295" t="s">
        <v>47</v>
      </c>
      <c r="B79" s="300">
        <v>3</v>
      </c>
      <c r="C79" s="306">
        <v>44421</v>
      </c>
      <c r="D79" s="307" t="s">
        <v>25</v>
      </c>
      <c r="E79" s="307" t="s">
        <v>194</v>
      </c>
      <c r="F79" s="309" t="s">
        <v>195</v>
      </c>
      <c r="G79" s="309" t="s">
        <v>69</v>
      </c>
      <c r="H79" s="308" t="s">
        <v>196</v>
      </c>
      <c r="I79" s="307" t="s">
        <v>62</v>
      </c>
      <c r="J79" s="307" t="s">
        <v>139</v>
      </c>
      <c r="K79" s="307" t="s">
        <v>139</v>
      </c>
    </row>
    <row r="80" spans="1:11" hidden="1" x14ac:dyDescent="0.3">
      <c r="A80" s="295" t="s">
        <v>47</v>
      </c>
      <c r="B80" s="300">
        <v>3</v>
      </c>
      <c r="C80" s="306">
        <v>44421</v>
      </c>
      <c r="D80" s="307" t="s">
        <v>25</v>
      </c>
      <c r="E80" s="307" t="s">
        <v>107</v>
      </c>
      <c r="F80" s="308" t="s">
        <v>197</v>
      </c>
      <c r="G80" s="309" t="s">
        <v>69</v>
      </c>
      <c r="H80" s="308" t="s">
        <v>198</v>
      </c>
      <c r="I80" s="307" t="s">
        <v>62</v>
      </c>
      <c r="J80" s="307" t="s">
        <v>139</v>
      </c>
      <c r="K80" s="307" t="s">
        <v>139</v>
      </c>
    </row>
    <row r="81" spans="1:11" ht="28" hidden="1" x14ac:dyDescent="0.3">
      <c r="A81" s="295" t="s">
        <v>47</v>
      </c>
      <c r="B81" s="300">
        <v>3</v>
      </c>
      <c r="C81" s="306">
        <v>44421</v>
      </c>
      <c r="D81" s="307" t="s">
        <v>25</v>
      </c>
      <c r="E81" s="307" t="s">
        <v>109</v>
      </c>
      <c r="F81" s="309" t="s">
        <v>199</v>
      </c>
      <c r="G81" s="309" t="s">
        <v>69</v>
      </c>
      <c r="H81" s="308" t="s">
        <v>200</v>
      </c>
      <c r="I81" s="307" t="s">
        <v>62</v>
      </c>
      <c r="J81" s="307" t="s">
        <v>139</v>
      </c>
      <c r="K81" s="307" t="s">
        <v>139</v>
      </c>
    </row>
    <row r="82" spans="1:11" hidden="1" x14ac:dyDescent="0.3">
      <c r="A82" s="295" t="s">
        <v>47</v>
      </c>
      <c r="B82" s="300">
        <v>3</v>
      </c>
      <c r="C82" s="306">
        <v>44421</v>
      </c>
      <c r="D82" s="307" t="s">
        <v>25</v>
      </c>
      <c r="E82" s="307" t="s">
        <v>114</v>
      </c>
      <c r="F82" s="308" t="s">
        <v>201</v>
      </c>
      <c r="G82" s="309" t="s">
        <v>69</v>
      </c>
      <c r="H82" s="308" t="s">
        <v>17</v>
      </c>
      <c r="I82" s="307" t="s">
        <v>62</v>
      </c>
      <c r="J82" s="307" t="s">
        <v>139</v>
      </c>
      <c r="K82" s="307" t="s">
        <v>139</v>
      </c>
    </row>
    <row r="83" spans="1:11" hidden="1" x14ac:dyDescent="0.3">
      <c r="A83" s="295" t="s">
        <v>47</v>
      </c>
      <c r="B83" s="300">
        <v>3</v>
      </c>
      <c r="C83" s="306">
        <v>44421</v>
      </c>
      <c r="D83" s="307" t="s">
        <v>25</v>
      </c>
      <c r="E83" s="307" t="s">
        <v>115</v>
      </c>
      <c r="F83" s="309" t="s">
        <v>202</v>
      </c>
      <c r="G83" s="309" t="s">
        <v>69</v>
      </c>
      <c r="H83" s="308" t="s">
        <v>203</v>
      </c>
      <c r="I83" s="307" t="s">
        <v>62</v>
      </c>
      <c r="J83" s="307" t="s">
        <v>139</v>
      </c>
      <c r="K83" s="307" t="s">
        <v>139</v>
      </c>
    </row>
    <row r="84" spans="1:11" hidden="1" x14ac:dyDescent="0.3">
      <c r="A84" s="295" t="s">
        <v>47</v>
      </c>
      <c r="B84" s="300">
        <v>3</v>
      </c>
      <c r="C84" s="306">
        <v>44421</v>
      </c>
      <c r="D84" s="307" t="s">
        <v>25</v>
      </c>
      <c r="E84" s="307" t="s">
        <v>119</v>
      </c>
      <c r="F84" s="308" t="s">
        <v>204</v>
      </c>
      <c r="G84" s="309" t="s">
        <v>69</v>
      </c>
      <c r="H84" s="308" t="s">
        <v>204</v>
      </c>
      <c r="I84" s="307" t="s">
        <v>62</v>
      </c>
      <c r="J84" s="307" t="s">
        <v>139</v>
      </c>
      <c r="K84" s="307" t="s">
        <v>139</v>
      </c>
    </row>
    <row r="85" spans="1:11" ht="42" hidden="1" x14ac:dyDescent="0.3">
      <c r="A85" s="295" t="s">
        <v>47</v>
      </c>
      <c r="B85" s="300">
        <v>3</v>
      </c>
      <c r="C85" s="306">
        <v>44421</v>
      </c>
      <c r="D85" s="307" t="s">
        <v>25</v>
      </c>
      <c r="E85" s="307" t="s">
        <v>120</v>
      </c>
      <c r="F85" s="309" t="s">
        <v>205</v>
      </c>
      <c r="G85" s="309" t="s">
        <v>69</v>
      </c>
      <c r="H85" s="308" t="s">
        <v>206</v>
      </c>
      <c r="I85" s="307" t="s">
        <v>62</v>
      </c>
      <c r="J85" s="307" t="s">
        <v>139</v>
      </c>
      <c r="K85" s="307" t="s">
        <v>139</v>
      </c>
    </row>
    <row r="86" spans="1:11" hidden="1" x14ac:dyDescent="0.3">
      <c r="A86" s="295" t="s">
        <v>47</v>
      </c>
      <c r="B86" s="300">
        <v>3</v>
      </c>
      <c r="C86" s="306">
        <v>44421</v>
      </c>
      <c r="D86" s="307" t="s">
        <v>25</v>
      </c>
      <c r="E86" s="307" t="s">
        <v>123</v>
      </c>
      <c r="F86" s="308" t="s">
        <v>21</v>
      </c>
      <c r="G86" s="309" t="s">
        <v>69</v>
      </c>
      <c r="H86" s="308" t="s">
        <v>21</v>
      </c>
      <c r="I86" s="307" t="s">
        <v>62</v>
      </c>
      <c r="J86" s="307" t="s">
        <v>139</v>
      </c>
      <c r="K86" s="307" t="s">
        <v>139</v>
      </c>
    </row>
    <row r="87" spans="1:11" ht="28" hidden="1" x14ac:dyDescent="0.3">
      <c r="A87" s="295" t="s">
        <v>47</v>
      </c>
      <c r="B87" s="300">
        <v>3</v>
      </c>
      <c r="C87" s="306">
        <v>44421</v>
      </c>
      <c r="D87" s="307" t="s">
        <v>25</v>
      </c>
      <c r="E87" s="307" t="s">
        <v>124</v>
      </c>
      <c r="F87" s="309" t="s">
        <v>207</v>
      </c>
      <c r="G87" s="309" t="s">
        <v>69</v>
      </c>
      <c r="H87" s="308" t="s">
        <v>208</v>
      </c>
      <c r="I87" s="307" t="s">
        <v>62</v>
      </c>
      <c r="J87" s="307" t="s">
        <v>139</v>
      </c>
      <c r="K87" s="307" t="s">
        <v>139</v>
      </c>
    </row>
    <row r="88" spans="1:11" hidden="1" x14ac:dyDescent="0.3">
      <c r="A88" s="295" t="s">
        <v>47</v>
      </c>
      <c r="B88" s="300">
        <v>3</v>
      </c>
      <c r="C88" s="306">
        <v>44460</v>
      </c>
      <c r="D88" s="307" t="s">
        <v>25</v>
      </c>
      <c r="E88" s="307" t="s">
        <v>209</v>
      </c>
      <c r="F88" s="308" t="s">
        <v>210</v>
      </c>
      <c r="G88" s="309" t="s">
        <v>69</v>
      </c>
      <c r="H88" s="308" t="s">
        <v>211</v>
      </c>
      <c r="I88" s="307" t="s">
        <v>62</v>
      </c>
      <c r="J88" s="307" t="s">
        <v>139</v>
      </c>
      <c r="K88" s="307" t="s">
        <v>139</v>
      </c>
    </row>
    <row r="89" spans="1:11" ht="28" hidden="1" x14ac:dyDescent="0.3">
      <c r="A89" s="295" t="s">
        <v>47</v>
      </c>
      <c r="B89" s="300">
        <v>3</v>
      </c>
      <c r="C89" s="306">
        <v>44460</v>
      </c>
      <c r="D89" s="307" t="s">
        <v>25</v>
      </c>
      <c r="E89" s="307" t="s">
        <v>212</v>
      </c>
      <c r="F89" s="308" t="s">
        <v>213</v>
      </c>
      <c r="G89" s="309" t="s">
        <v>69</v>
      </c>
      <c r="H89" s="308" t="s">
        <v>214</v>
      </c>
      <c r="I89" s="307" t="s">
        <v>62</v>
      </c>
      <c r="J89" s="307" t="s">
        <v>139</v>
      </c>
      <c r="K89" s="307" t="s">
        <v>139</v>
      </c>
    </row>
    <row r="90" spans="1:11" ht="70" hidden="1" x14ac:dyDescent="0.3">
      <c r="A90" s="295" t="s">
        <v>47</v>
      </c>
      <c r="B90" s="300">
        <v>3</v>
      </c>
      <c r="C90" s="306">
        <v>44460</v>
      </c>
      <c r="D90" s="307" t="s">
        <v>25</v>
      </c>
      <c r="E90" s="307" t="s">
        <v>215</v>
      </c>
      <c r="F90" s="309" t="s">
        <v>216</v>
      </c>
      <c r="G90" s="309" t="s">
        <v>217</v>
      </c>
      <c r="H90" s="308" t="s">
        <v>218</v>
      </c>
      <c r="I90" s="307" t="s">
        <v>62</v>
      </c>
      <c r="J90" s="307" t="s">
        <v>139</v>
      </c>
      <c r="K90" s="307" t="s">
        <v>139</v>
      </c>
    </row>
    <row r="91" spans="1:11" hidden="1" x14ac:dyDescent="0.3">
      <c r="A91" s="295" t="s">
        <v>47</v>
      </c>
      <c r="B91" s="300">
        <v>4</v>
      </c>
      <c r="C91" s="306">
        <v>44722</v>
      </c>
      <c r="D91" s="307" t="s">
        <v>25</v>
      </c>
      <c r="E91" s="310" t="s">
        <v>92</v>
      </c>
      <c r="F91" s="309" t="s">
        <v>93</v>
      </c>
      <c r="G91" s="309"/>
      <c r="H91" s="308" t="s">
        <v>219</v>
      </c>
      <c r="I91" s="307" t="s">
        <v>62</v>
      </c>
      <c r="J91" s="307"/>
      <c r="K91" s="307"/>
    </row>
    <row r="92" spans="1:11" ht="28" hidden="1" x14ac:dyDescent="0.3">
      <c r="A92" s="295" t="s">
        <v>47</v>
      </c>
      <c r="B92" s="300">
        <v>4</v>
      </c>
      <c r="C92" s="306">
        <v>44722</v>
      </c>
      <c r="D92" s="307" t="s">
        <v>25</v>
      </c>
      <c r="E92" s="307" t="s">
        <v>76</v>
      </c>
      <c r="F92" s="309" t="s">
        <v>220</v>
      </c>
      <c r="G92" s="309"/>
      <c r="H92" s="308" t="s">
        <v>221</v>
      </c>
      <c r="I92" s="307" t="s">
        <v>62</v>
      </c>
      <c r="J92" s="307"/>
      <c r="K92" s="307"/>
    </row>
    <row r="93" spans="1:11" hidden="1" x14ac:dyDescent="0.3">
      <c r="A93" s="295" t="s">
        <v>47</v>
      </c>
      <c r="B93" s="300">
        <v>4</v>
      </c>
      <c r="C93" s="306">
        <v>44722</v>
      </c>
      <c r="D93" s="307" t="s">
        <v>25</v>
      </c>
      <c r="E93" s="307" t="s">
        <v>222</v>
      </c>
      <c r="F93" s="309" t="s">
        <v>223</v>
      </c>
      <c r="G93" s="309"/>
      <c r="H93" s="308" t="s">
        <v>224</v>
      </c>
      <c r="I93" s="307" t="s">
        <v>62</v>
      </c>
      <c r="J93" s="307"/>
      <c r="K93" s="307"/>
    </row>
    <row r="94" spans="1:11" ht="28" hidden="1" x14ac:dyDescent="0.3">
      <c r="A94" s="295" t="s">
        <v>47</v>
      </c>
      <c r="B94" s="300">
        <v>4</v>
      </c>
      <c r="C94" s="306">
        <v>44722</v>
      </c>
      <c r="D94" s="307" t="s">
        <v>25</v>
      </c>
      <c r="E94" s="307" t="s">
        <v>225</v>
      </c>
      <c r="F94" s="309" t="s">
        <v>226</v>
      </c>
      <c r="G94" s="309"/>
      <c r="H94" s="308" t="s">
        <v>227</v>
      </c>
      <c r="I94" s="307"/>
      <c r="J94" s="307"/>
      <c r="K94" s="307"/>
    </row>
    <row r="95" spans="1:11" ht="42" hidden="1" x14ac:dyDescent="0.3">
      <c r="A95" s="295" t="s">
        <v>47</v>
      </c>
      <c r="B95" s="300">
        <v>4</v>
      </c>
      <c r="C95" s="306">
        <v>44722</v>
      </c>
      <c r="D95" s="307" t="s">
        <v>25</v>
      </c>
      <c r="E95" s="307" t="s">
        <v>228</v>
      </c>
      <c r="F95" s="308" t="s">
        <v>12</v>
      </c>
      <c r="G95" s="308" t="s">
        <v>69</v>
      </c>
      <c r="H95" s="312" t="s">
        <v>229</v>
      </c>
      <c r="I95" s="307" t="s">
        <v>62</v>
      </c>
      <c r="J95" s="307"/>
      <c r="K95" s="307"/>
    </row>
    <row r="96" spans="1:11" hidden="1" x14ac:dyDescent="0.3">
      <c r="A96" s="295" t="s">
        <v>47</v>
      </c>
      <c r="B96" s="300">
        <v>4</v>
      </c>
      <c r="C96" s="306">
        <v>44722</v>
      </c>
      <c r="D96" s="307" t="s">
        <v>25</v>
      </c>
      <c r="E96" s="295" t="s">
        <v>230</v>
      </c>
      <c r="F96" s="295" t="s">
        <v>231</v>
      </c>
      <c r="G96" s="295" t="s">
        <v>137</v>
      </c>
      <c r="H96" s="308"/>
      <c r="I96" s="307" t="s">
        <v>62</v>
      </c>
      <c r="J96" s="307"/>
      <c r="K96" s="307"/>
    </row>
    <row r="97" spans="1:11" ht="112" hidden="1" x14ac:dyDescent="0.3">
      <c r="A97" s="295" t="s">
        <v>47</v>
      </c>
      <c r="B97" s="300">
        <v>4</v>
      </c>
      <c r="C97" s="306">
        <v>44722</v>
      </c>
      <c r="D97" s="307" t="s">
        <v>25</v>
      </c>
      <c r="E97" s="307" t="s">
        <v>133</v>
      </c>
      <c r="F97" s="309" t="s">
        <v>232</v>
      </c>
      <c r="G97" s="308" t="s">
        <v>69</v>
      </c>
      <c r="H97" s="308" t="s">
        <v>233</v>
      </c>
      <c r="I97" s="307" t="s">
        <v>62</v>
      </c>
      <c r="J97" s="307"/>
      <c r="K97" s="307"/>
    </row>
    <row r="98" spans="1:11" ht="28" hidden="1" x14ac:dyDescent="0.3">
      <c r="A98" s="295" t="s">
        <v>47</v>
      </c>
      <c r="B98" s="300">
        <v>4</v>
      </c>
      <c r="C98" s="306">
        <v>44722</v>
      </c>
      <c r="D98" s="307" t="s">
        <v>25</v>
      </c>
      <c r="E98" s="307" t="s">
        <v>234</v>
      </c>
      <c r="F98" s="309" t="s">
        <v>235</v>
      </c>
      <c r="G98" s="308"/>
      <c r="H98" s="308" t="s">
        <v>236</v>
      </c>
      <c r="I98" s="307" t="s">
        <v>62</v>
      </c>
      <c r="J98" s="307"/>
      <c r="K98" s="307"/>
    </row>
    <row r="99" spans="1:11" hidden="1" x14ac:dyDescent="0.3">
      <c r="A99" s="295" t="s">
        <v>47</v>
      </c>
      <c r="B99" s="300">
        <v>4</v>
      </c>
      <c r="C99" s="306">
        <v>44722</v>
      </c>
      <c r="D99" s="307" t="s">
        <v>1</v>
      </c>
      <c r="E99" s="307" t="s">
        <v>237</v>
      </c>
      <c r="F99" s="308" t="s">
        <v>238</v>
      </c>
      <c r="G99" s="308" t="s">
        <v>137</v>
      </c>
      <c r="H99" s="308" t="s">
        <v>239</v>
      </c>
      <c r="I99" s="307" t="s">
        <v>62</v>
      </c>
      <c r="J99" s="307"/>
      <c r="K99" s="307"/>
    </row>
    <row r="100" spans="1:11" ht="154" hidden="1" x14ac:dyDescent="0.3">
      <c r="A100" s="295" t="s">
        <v>47</v>
      </c>
      <c r="B100" s="300">
        <v>4</v>
      </c>
      <c r="C100" s="306">
        <v>44722</v>
      </c>
      <c r="D100" s="307" t="s">
        <v>1</v>
      </c>
      <c r="E100" s="307" t="s">
        <v>240</v>
      </c>
      <c r="F100" s="308" t="s">
        <v>241</v>
      </c>
      <c r="G100" s="308" t="s">
        <v>242</v>
      </c>
      <c r="H100" s="308" t="s">
        <v>239</v>
      </c>
      <c r="I100" s="307" t="s">
        <v>62</v>
      </c>
      <c r="J100" s="307"/>
      <c r="K100" s="307"/>
    </row>
    <row r="101" spans="1:11" hidden="1" x14ac:dyDescent="0.3">
      <c r="A101" s="295" t="s">
        <v>47</v>
      </c>
      <c r="B101" s="300">
        <v>4</v>
      </c>
      <c r="C101" s="306">
        <v>44722</v>
      </c>
      <c r="D101" s="307" t="s">
        <v>1</v>
      </c>
      <c r="E101" s="307" t="s">
        <v>243</v>
      </c>
      <c r="F101" s="308" t="s">
        <v>244</v>
      </c>
      <c r="G101" s="308" t="s">
        <v>69</v>
      </c>
      <c r="H101" s="308" t="s">
        <v>239</v>
      </c>
      <c r="I101" s="307" t="s">
        <v>62</v>
      </c>
      <c r="J101" s="307"/>
      <c r="K101" s="307"/>
    </row>
    <row r="102" spans="1:11" ht="42" hidden="1" x14ac:dyDescent="0.3">
      <c r="A102" s="295" t="s">
        <v>47</v>
      </c>
      <c r="B102" s="300">
        <v>4</v>
      </c>
      <c r="C102" s="306">
        <v>44722</v>
      </c>
      <c r="D102" s="307" t="s">
        <v>1</v>
      </c>
      <c r="E102" s="307" t="s">
        <v>245</v>
      </c>
      <c r="F102" s="308" t="s">
        <v>246</v>
      </c>
      <c r="G102" s="308" t="s">
        <v>69</v>
      </c>
      <c r="H102" s="308" t="s">
        <v>239</v>
      </c>
      <c r="I102" s="307" t="s">
        <v>62</v>
      </c>
      <c r="J102" s="307"/>
      <c r="K102" s="307"/>
    </row>
    <row r="103" spans="1:11" hidden="1" x14ac:dyDescent="0.3">
      <c r="A103" s="295" t="s">
        <v>47</v>
      </c>
      <c r="B103" s="300">
        <v>4</v>
      </c>
      <c r="C103" s="306">
        <v>44722</v>
      </c>
      <c r="D103" s="307" t="s">
        <v>1</v>
      </c>
      <c r="E103" s="307" t="s">
        <v>136</v>
      </c>
      <c r="F103" s="308" t="s">
        <v>12</v>
      </c>
      <c r="G103" s="308" t="s">
        <v>69</v>
      </c>
      <c r="H103" s="308" t="s">
        <v>239</v>
      </c>
      <c r="I103" s="307" t="s">
        <v>62</v>
      </c>
      <c r="J103" s="307"/>
      <c r="K103" s="307"/>
    </row>
    <row r="104" spans="1:11" ht="84" hidden="1" x14ac:dyDescent="0.3">
      <c r="A104" s="295" t="s">
        <v>47</v>
      </c>
      <c r="B104" s="300">
        <v>4</v>
      </c>
      <c r="C104" s="306">
        <v>44722</v>
      </c>
      <c r="D104" s="307" t="s">
        <v>1</v>
      </c>
      <c r="E104" s="307" t="s">
        <v>140</v>
      </c>
      <c r="F104" s="308" t="s">
        <v>247</v>
      </c>
      <c r="G104" s="308" t="s">
        <v>69</v>
      </c>
      <c r="H104" s="308" t="s">
        <v>239</v>
      </c>
      <c r="I104" s="307" t="s">
        <v>62</v>
      </c>
      <c r="J104" s="307"/>
      <c r="K104" s="307"/>
    </row>
    <row r="105" spans="1:11" hidden="1" x14ac:dyDescent="0.3">
      <c r="A105" s="295" t="s">
        <v>47</v>
      </c>
      <c r="B105" s="300">
        <v>5</v>
      </c>
      <c r="C105" s="306">
        <v>44833</v>
      </c>
      <c r="D105" s="307" t="s">
        <v>25</v>
      </c>
      <c r="E105" s="307" t="s">
        <v>222</v>
      </c>
      <c r="F105" s="308" t="s">
        <v>197</v>
      </c>
      <c r="G105" s="308" t="s">
        <v>223</v>
      </c>
      <c r="H105" s="308" t="s">
        <v>248</v>
      </c>
      <c r="I105" s="307" t="s">
        <v>62</v>
      </c>
      <c r="J105" s="307"/>
      <c r="K105" s="307"/>
    </row>
    <row r="106" spans="1:11" hidden="1" x14ac:dyDescent="0.3">
      <c r="A106" s="295" t="s">
        <v>47</v>
      </c>
      <c r="B106" s="300">
        <v>5</v>
      </c>
      <c r="C106" s="306">
        <v>44833</v>
      </c>
      <c r="D106" s="307" t="s">
        <v>25</v>
      </c>
      <c r="E106" s="307" t="s">
        <v>249</v>
      </c>
      <c r="F106" s="308" t="s">
        <v>250</v>
      </c>
      <c r="G106" s="308"/>
      <c r="H106" s="308" t="s">
        <v>251</v>
      </c>
      <c r="I106" s="307" t="s">
        <v>62</v>
      </c>
      <c r="J106" s="307"/>
      <c r="K106" s="307"/>
    </row>
  </sheetData>
  <sheetProtection algorithmName="SHA-512" hashValue="dz+J/BQ99m51PzU6d/D9Hra/ejyDyxP31Cvx7/yzgOb7p3eGpkhiiladtdatiX+VbwLr3DTR0+zlODr+WMAOFw==" saltValue="T/kxLJweIhcvclRx4TEN9Q==" spinCount="100000" sheet="1" objects="1" scenarios="1"/>
  <pageMargins left="0.7" right="0.7" top="0.75" bottom="0.75" header="0.3" footer="0.3"/>
  <drawing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04348-A325-4854-A629-016AFCFDB95A}">
  <sheetPr codeName="Sheet6">
    <pageSetUpPr fitToPage="1"/>
  </sheetPr>
  <dimension ref="A1:AK99"/>
  <sheetViews>
    <sheetView showGridLines="0" showRowColHeaders="0" tabSelected="1" zoomScale="60" zoomScaleNormal="60" workbookViewId="0">
      <pane ySplit="7" topLeftCell="A8" activePane="bottomLeft" state="frozen"/>
      <selection activeCell="D1" sqref="D1"/>
      <selection pane="bottomLeft" activeCell="G1" sqref="G1"/>
    </sheetView>
  </sheetViews>
  <sheetFormatPr defaultColWidth="9" defaultRowHeight="14.25" customHeight="1" x14ac:dyDescent="0.3"/>
  <cols>
    <col min="1" max="1" width="52.08203125" style="89" customWidth="1"/>
    <col min="2" max="2" width="16.58203125" style="372" customWidth="1"/>
    <col min="3" max="4" width="25.58203125" style="372" customWidth="1"/>
    <col min="5" max="5" width="23.58203125" style="89" customWidth="1"/>
    <col min="6" max="6" width="39.9140625" style="372" customWidth="1"/>
    <col min="7" max="7" width="17.6640625" style="373" customWidth="1"/>
    <col min="8" max="8" width="19.9140625" style="372" customWidth="1"/>
    <col min="9" max="10" width="14" style="87" customWidth="1"/>
    <col min="11" max="11" width="29.1640625" style="372" customWidth="1"/>
    <col min="12" max="12" width="14" style="372" customWidth="1"/>
    <col min="13" max="13" width="17" style="106" customWidth="1"/>
    <col min="14" max="14" width="57.1640625" style="178" customWidth="1"/>
    <col min="15" max="15" width="18.1640625" style="345" hidden="1" customWidth="1"/>
    <col min="16" max="17" width="57.1640625" style="179" hidden="1" customWidth="1"/>
    <col min="18" max="18" width="57.1640625" style="178" customWidth="1"/>
    <col min="19" max="19" width="14.6640625" style="345" customWidth="1"/>
    <col min="20" max="20" width="91.1640625" style="179" customWidth="1"/>
    <col min="21" max="21" width="76.58203125" style="179" customWidth="1"/>
    <col min="22" max="22" width="14.6640625" style="345" customWidth="1"/>
    <col min="23" max="23" width="91.1640625" style="179" customWidth="1"/>
    <col min="24" max="24" width="76.58203125" style="179" customWidth="1"/>
    <col min="25" max="25" width="31.1640625" style="87" hidden="1" customWidth="1"/>
    <col min="26" max="26" width="9" style="87" hidden="1" customWidth="1"/>
    <col min="27" max="28" width="15.6640625" style="87" hidden="1" customWidth="1"/>
    <col min="29" max="29" width="9" style="87" hidden="1" customWidth="1"/>
    <col min="30" max="30" width="24.5" style="87" hidden="1" customWidth="1"/>
    <col min="31" max="31" width="14" style="87" hidden="1" customWidth="1"/>
    <col min="32" max="32" width="10.58203125" style="87" hidden="1" customWidth="1"/>
    <col min="33" max="34" width="12" style="87" hidden="1" customWidth="1"/>
    <col min="35" max="36" width="10.6640625" style="87" hidden="1" customWidth="1"/>
    <col min="37" max="37" width="9" style="87" hidden="1" customWidth="1"/>
    <col min="38" max="40" width="9" style="87" customWidth="1"/>
    <col min="41" max="16384" width="9" style="87"/>
  </cols>
  <sheetData>
    <row r="1" spans="1:34" ht="68" customHeight="1" x14ac:dyDescent="1.3">
      <c r="A1" s="482" t="s">
        <v>252</v>
      </c>
      <c r="B1" s="483"/>
      <c r="C1" s="483"/>
      <c r="D1" s="483"/>
      <c r="E1" s="483"/>
      <c r="F1" s="414"/>
      <c r="G1" s="323"/>
      <c r="H1" s="322"/>
      <c r="I1" s="324"/>
      <c r="J1" s="324"/>
      <c r="K1" s="325"/>
      <c r="L1" s="325"/>
      <c r="M1" s="102"/>
      <c r="N1" s="459"/>
      <c r="O1" s="459"/>
      <c r="P1" s="459"/>
      <c r="Q1" s="459"/>
      <c r="R1" s="460"/>
      <c r="S1" s="461"/>
      <c r="T1" s="461"/>
      <c r="U1" s="461"/>
      <c r="V1" s="461"/>
      <c r="W1" s="461"/>
      <c r="X1" s="462"/>
      <c r="Y1" s="87" t="s">
        <v>47</v>
      </c>
      <c r="Z1" s="87" t="s">
        <v>47</v>
      </c>
      <c r="AA1" s="87" t="s">
        <v>47</v>
      </c>
      <c r="AB1" s="87" t="s">
        <v>47</v>
      </c>
    </row>
    <row r="2" spans="1:34" ht="54" customHeight="1" x14ac:dyDescent="0.3">
      <c r="A2" s="383" t="s">
        <v>253</v>
      </c>
      <c r="B2" s="463"/>
      <c r="C2" s="464"/>
      <c r="E2" s="269"/>
      <c r="F2" s="327"/>
      <c r="G2" s="415" t="s">
        <v>254</v>
      </c>
      <c r="H2" s="416" t="s">
        <v>255</v>
      </c>
      <c r="I2" s="174"/>
      <c r="J2" s="417"/>
      <c r="K2" s="8" t="s">
        <v>256</v>
      </c>
      <c r="L2" s="8" t="s">
        <v>257</v>
      </c>
      <c r="M2" s="418"/>
      <c r="N2" s="419"/>
      <c r="O2" s="465" t="s">
        <v>258</v>
      </c>
      <c r="P2" s="465"/>
      <c r="Q2" s="465"/>
      <c r="R2" s="420"/>
      <c r="S2" s="466" t="s">
        <v>259</v>
      </c>
      <c r="T2" s="466"/>
      <c r="U2" s="467"/>
      <c r="V2" s="468" t="s">
        <v>260</v>
      </c>
      <c r="W2" s="466"/>
      <c r="X2" s="467"/>
    </row>
    <row r="3" spans="1:34" ht="35.25" customHeight="1" x14ac:dyDescent="0.3">
      <c r="A3" s="384" t="s">
        <v>261</v>
      </c>
      <c r="B3" s="476" t="str">
        <f>IF(H3&gt;=70,"6 Stars - World Leadership",IF(H3&gt;=35,"5 Star - New Zealand Excellence",IF(H3&gt;=15,"4 Star - New Zealand Best Practice","")))</f>
        <v/>
      </c>
      <c r="C3" s="477"/>
      <c r="D3" s="329"/>
      <c r="E3" s="330"/>
      <c r="G3" s="277">
        <f>G68</f>
        <v>100</v>
      </c>
      <c r="H3" s="456">
        <f>H70</f>
        <v>0</v>
      </c>
      <c r="I3" s="174"/>
      <c r="J3" s="417"/>
      <c r="K3" s="276">
        <f>K68</f>
        <v>0</v>
      </c>
      <c r="L3" s="276">
        <f>L68</f>
        <v>0</v>
      </c>
      <c r="M3" s="418"/>
      <c r="N3" s="421"/>
      <c r="O3" s="478" t="s">
        <v>262</v>
      </c>
      <c r="P3" s="478"/>
      <c r="Q3" s="478"/>
      <c r="R3" s="422"/>
      <c r="S3" s="479" t="s">
        <v>262</v>
      </c>
      <c r="T3" s="479"/>
      <c r="U3" s="480"/>
      <c r="V3" s="481" t="s">
        <v>262</v>
      </c>
      <c r="W3" s="479"/>
      <c r="X3" s="480"/>
    </row>
    <row r="4" spans="1:34" ht="35.25" customHeight="1" x14ac:dyDescent="0.3">
      <c r="A4" s="385" t="s">
        <v>263</v>
      </c>
      <c r="B4" s="476" t="str">
        <f>COUNTIFS(F10:F60,"&lt;&gt;",C10:C60,"=•")&amp; " out of 16"</f>
        <v>0 out of 16</v>
      </c>
      <c r="C4" s="477"/>
      <c r="D4" s="329"/>
      <c r="E4" s="330"/>
      <c r="F4" s="39"/>
      <c r="G4" s="423"/>
      <c r="H4" s="325"/>
      <c r="I4" s="6"/>
      <c r="J4" s="174"/>
      <c r="K4" s="174"/>
      <c r="L4" s="174"/>
      <c r="M4" s="9"/>
      <c r="N4" s="9"/>
      <c r="O4" s="478" t="s">
        <v>627</v>
      </c>
      <c r="P4" s="478"/>
      <c r="Q4" s="478"/>
      <c r="R4" s="425"/>
      <c r="S4" s="479" t="s">
        <v>627</v>
      </c>
      <c r="T4" s="479"/>
      <c r="U4" s="480"/>
      <c r="V4" s="481" t="s">
        <v>627</v>
      </c>
      <c r="W4" s="479"/>
      <c r="X4" s="480"/>
    </row>
    <row r="5" spans="1:34" ht="35.25" customHeight="1" x14ac:dyDescent="0.3">
      <c r="A5" s="386" t="s">
        <v>264</v>
      </c>
      <c r="B5" s="469" t="str">
        <f>IF(K3&gt;=70,"6 Stars - World Leadership",IF(K3&gt;=35,"5 Star - New Zealand Excellence",IF(K3&gt;=15,"4 Star - New Zealand Best Practice","")))</f>
        <v/>
      </c>
      <c r="C5" s="470"/>
      <c r="D5" s="329"/>
      <c r="E5" s="330"/>
      <c r="F5" s="325"/>
      <c r="G5" s="423"/>
      <c r="H5" s="424"/>
      <c r="I5" s="6"/>
      <c r="J5" s="174"/>
      <c r="K5" s="174"/>
      <c r="L5" s="174"/>
      <c r="M5" s="174"/>
      <c r="N5" s="174"/>
      <c r="O5" s="426"/>
      <c r="P5" s="426"/>
      <c r="Q5" s="426"/>
      <c r="R5" s="425"/>
      <c r="S5" s="471" t="s">
        <v>628</v>
      </c>
      <c r="T5" s="472"/>
      <c r="U5" s="473"/>
      <c r="V5" s="474" t="s">
        <v>628</v>
      </c>
      <c r="W5" s="472"/>
      <c r="X5" s="473"/>
    </row>
    <row r="6" spans="1:34" ht="10.5" customHeight="1" x14ac:dyDescent="0.3">
      <c r="B6" s="332"/>
      <c r="C6" s="332"/>
      <c r="D6" s="332"/>
      <c r="E6" s="114"/>
      <c r="F6" s="322"/>
      <c r="G6" s="323"/>
      <c r="H6" s="322"/>
      <c r="I6" s="331"/>
      <c r="J6" s="328"/>
      <c r="K6" s="414"/>
      <c r="L6" s="414"/>
      <c r="M6" s="175"/>
      <c r="N6" s="328"/>
      <c r="O6" s="475" t="s">
        <v>629</v>
      </c>
      <c r="P6" s="475"/>
      <c r="Q6" s="475"/>
      <c r="R6" s="272"/>
      <c r="S6" s="272"/>
      <c r="T6" s="272"/>
      <c r="U6" s="272"/>
      <c r="V6" s="272"/>
      <c r="W6" s="272"/>
      <c r="X6" s="272"/>
    </row>
    <row r="7" spans="1:34" ht="45" customHeight="1" x14ac:dyDescent="0.3">
      <c r="A7" s="17" t="s">
        <v>265</v>
      </c>
      <c r="B7" s="8" t="s">
        <v>266</v>
      </c>
      <c r="C7" s="8" t="s">
        <v>625</v>
      </c>
      <c r="D7" s="8" t="s">
        <v>623</v>
      </c>
      <c r="E7" s="8" t="s">
        <v>626</v>
      </c>
      <c r="F7" s="8" t="s">
        <v>624</v>
      </c>
      <c r="G7" s="333" t="s">
        <v>267</v>
      </c>
      <c r="H7" s="8" t="s">
        <v>268</v>
      </c>
      <c r="I7" s="22"/>
      <c r="J7" s="22"/>
      <c r="K7" s="8" t="s">
        <v>269</v>
      </c>
      <c r="L7" s="8" t="s">
        <v>270</v>
      </c>
      <c r="M7" s="121" t="s">
        <v>271</v>
      </c>
      <c r="N7" s="334" t="s">
        <v>272</v>
      </c>
      <c r="O7" s="334" t="s">
        <v>273</v>
      </c>
      <c r="P7" s="334" t="s">
        <v>274</v>
      </c>
      <c r="Q7" s="334" t="s">
        <v>275</v>
      </c>
      <c r="R7" s="334" t="s">
        <v>276</v>
      </c>
      <c r="S7" s="335" t="s">
        <v>273</v>
      </c>
      <c r="T7" s="335" t="s">
        <v>277</v>
      </c>
      <c r="U7" s="335" t="s">
        <v>278</v>
      </c>
      <c r="V7" s="335" t="s">
        <v>273</v>
      </c>
      <c r="W7" s="335" t="s">
        <v>277</v>
      </c>
      <c r="X7" s="335" t="s">
        <v>278</v>
      </c>
    </row>
    <row r="8" spans="1:34" ht="45" customHeight="1" x14ac:dyDescent="0.3">
      <c r="A8" s="17"/>
      <c r="B8" s="8"/>
      <c r="C8" s="387"/>
      <c r="D8" s="387"/>
      <c r="E8" s="387"/>
      <c r="F8" s="387"/>
      <c r="G8" s="408"/>
      <c r="H8" s="105"/>
      <c r="I8" s="22"/>
      <c r="J8" s="22"/>
      <c r="K8" s="8"/>
      <c r="L8" s="8"/>
      <c r="M8" s="121"/>
      <c r="N8" s="336" t="s">
        <v>279</v>
      </c>
      <c r="O8" s="337"/>
      <c r="P8" s="338"/>
      <c r="Q8" s="337" t="s">
        <v>280</v>
      </c>
      <c r="R8" s="334" t="s">
        <v>279</v>
      </c>
      <c r="S8" s="335"/>
      <c r="T8" s="335"/>
      <c r="U8" s="339" t="s">
        <v>280</v>
      </c>
      <c r="V8" s="335"/>
      <c r="W8" s="335"/>
      <c r="X8" s="339" t="s">
        <v>280</v>
      </c>
    </row>
    <row r="9" spans="1:34" ht="45" customHeight="1" x14ac:dyDescent="0.3">
      <c r="A9" s="388" t="s">
        <v>281</v>
      </c>
      <c r="B9" s="389"/>
      <c r="C9" s="389"/>
      <c r="D9" s="389"/>
      <c r="E9" s="389"/>
      <c r="F9" s="389"/>
      <c r="G9" s="447"/>
      <c r="H9" s="389"/>
      <c r="I9" s="429"/>
      <c r="J9" s="22"/>
      <c r="K9" s="411"/>
      <c r="L9" s="411"/>
      <c r="M9" s="263"/>
      <c r="N9" s="263"/>
      <c r="O9" s="263"/>
      <c r="P9" s="263"/>
      <c r="Q9" s="263" t="s">
        <v>280</v>
      </c>
      <c r="R9" s="263"/>
      <c r="S9" s="263"/>
      <c r="T9" s="263"/>
      <c r="U9" s="263"/>
      <c r="V9" s="263"/>
      <c r="W9" s="263"/>
      <c r="X9" s="263"/>
      <c r="AA9" s="340"/>
      <c r="AB9" s="340"/>
      <c r="AC9" s="341"/>
      <c r="AD9" s="341"/>
      <c r="AH9" s="87" t="s">
        <v>282</v>
      </c>
    </row>
    <row r="10" spans="1:34" ht="87" customHeight="1" x14ac:dyDescent="0.3">
      <c r="A10" s="390" t="s">
        <v>283</v>
      </c>
      <c r="B10" s="391">
        <v>1</v>
      </c>
      <c r="C10" s="392"/>
      <c r="D10" s="393">
        <v>1</v>
      </c>
      <c r="E10" s="394"/>
      <c r="F10" s="449"/>
      <c r="G10" s="391">
        <v>1</v>
      </c>
      <c r="H10" s="274"/>
      <c r="I10" s="429"/>
      <c r="J10" s="22"/>
      <c r="K10" s="412" t="str">
        <f t="shared" ref="K10:K16" si="0">IF(OR(M10=$AA$12,M10=$AA$13),H10,"")</f>
        <v/>
      </c>
      <c r="L10" s="412" t="str">
        <f t="shared" ref="L10:L16" si="1">IF(M10=$AA$14,H10,"")</f>
        <v/>
      </c>
      <c r="M10" s="342"/>
      <c r="N10" s="343"/>
      <c r="O10" s="270"/>
      <c r="P10" s="271"/>
      <c r="Q10" s="271"/>
      <c r="R10" s="343"/>
      <c r="S10" s="180"/>
      <c r="T10" s="181"/>
      <c r="U10" s="181"/>
      <c r="V10" s="180"/>
      <c r="W10" s="181"/>
      <c r="X10" s="181"/>
      <c r="AA10" s="340"/>
      <c r="AB10" s="340"/>
      <c r="AC10" s="341"/>
      <c r="AD10" s="341"/>
    </row>
    <row r="11" spans="1:34" ht="87" customHeight="1" x14ac:dyDescent="0.3">
      <c r="A11" s="390" t="s">
        <v>284</v>
      </c>
      <c r="B11" s="391">
        <v>2</v>
      </c>
      <c r="C11" s="395" t="s">
        <v>285</v>
      </c>
      <c r="D11" s="393">
        <v>1</v>
      </c>
      <c r="E11" s="394"/>
      <c r="F11" s="449"/>
      <c r="G11" s="446">
        <v>1</v>
      </c>
      <c r="H11" s="275"/>
      <c r="I11" s="429"/>
      <c r="J11" s="22"/>
      <c r="K11" s="412" t="str">
        <f t="shared" si="0"/>
        <v/>
      </c>
      <c r="L11" s="412" t="str">
        <f t="shared" si="1"/>
        <v/>
      </c>
      <c r="M11" s="342"/>
      <c r="N11" s="343"/>
      <c r="O11" s="270"/>
      <c r="P11" s="271"/>
      <c r="Q11" s="271"/>
      <c r="R11" s="343"/>
      <c r="S11" s="180"/>
      <c r="T11" s="181"/>
      <c r="U11" s="181"/>
      <c r="V11" s="180"/>
      <c r="W11" s="181"/>
      <c r="X11" s="181"/>
      <c r="Y11" s="344"/>
      <c r="Z11" s="344"/>
      <c r="AA11" s="340"/>
      <c r="AB11" s="340" t="s">
        <v>286</v>
      </c>
      <c r="AC11" s="341"/>
      <c r="AD11" s="341"/>
    </row>
    <row r="12" spans="1:34" ht="87" customHeight="1" x14ac:dyDescent="0.3">
      <c r="A12" s="390" t="s">
        <v>287</v>
      </c>
      <c r="B12" s="391">
        <v>3</v>
      </c>
      <c r="C12" s="395" t="s">
        <v>285</v>
      </c>
      <c r="D12" s="393">
        <v>1</v>
      </c>
      <c r="E12" s="394"/>
      <c r="F12" s="449"/>
      <c r="G12" s="445">
        <v>1</v>
      </c>
      <c r="H12" s="274"/>
      <c r="I12" s="429"/>
      <c r="J12" s="22"/>
      <c r="K12" s="412" t="str">
        <f t="shared" si="0"/>
        <v/>
      </c>
      <c r="L12" s="412" t="str">
        <f t="shared" si="1"/>
        <v/>
      </c>
      <c r="M12" s="342"/>
      <c r="N12" s="343"/>
      <c r="O12" s="270"/>
      <c r="P12" s="271"/>
      <c r="Q12" s="271"/>
      <c r="R12" s="343"/>
      <c r="S12" s="180"/>
      <c r="T12" s="181"/>
      <c r="U12" s="181"/>
      <c r="V12" s="180"/>
      <c r="W12" s="181"/>
      <c r="X12" s="181"/>
      <c r="Y12" s="344"/>
      <c r="Z12" s="344" t="s">
        <v>288</v>
      </c>
      <c r="AA12" s="340" t="s">
        <v>289</v>
      </c>
      <c r="AB12" s="340" t="s">
        <v>290</v>
      </c>
      <c r="AC12" s="341"/>
      <c r="AD12" s="341"/>
    </row>
    <row r="13" spans="1:34" ht="87" customHeight="1" x14ac:dyDescent="0.3">
      <c r="A13" s="390" t="s">
        <v>291</v>
      </c>
      <c r="B13" s="391">
        <v>4</v>
      </c>
      <c r="C13" s="395" t="s">
        <v>285</v>
      </c>
      <c r="D13" s="394"/>
      <c r="E13" s="394"/>
      <c r="F13" s="449"/>
      <c r="G13" s="444" t="str">
        <f>C7</f>
        <v>MINIMUM EXPECTATION</v>
      </c>
      <c r="H13" s="274"/>
      <c r="I13" s="429"/>
      <c r="J13" s="22"/>
      <c r="K13" s="412" t="str">
        <f>IF(OR(M13=$AA$12,M13=$AA$13),H13,"")</f>
        <v/>
      </c>
      <c r="L13" s="412" t="str">
        <f>IF(M13=$AA$14,H13,"")</f>
        <v/>
      </c>
      <c r="M13" s="342"/>
      <c r="N13" s="343"/>
      <c r="O13" s="270"/>
      <c r="P13" s="271"/>
      <c r="Q13" s="271"/>
      <c r="R13" s="343"/>
      <c r="S13" s="180"/>
      <c r="T13" s="181"/>
      <c r="U13" s="181"/>
      <c r="V13" s="180"/>
      <c r="W13" s="181"/>
      <c r="X13" s="181"/>
      <c r="Z13" s="344" t="s">
        <v>292</v>
      </c>
      <c r="AA13" s="340" t="s">
        <v>293</v>
      </c>
      <c r="AB13" s="341"/>
      <c r="AC13" s="341"/>
      <c r="AD13" s="341"/>
    </row>
    <row r="14" spans="1:34" ht="87" customHeight="1" x14ac:dyDescent="0.3">
      <c r="A14" s="390" t="s">
        <v>294</v>
      </c>
      <c r="B14" s="391">
        <v>5</v>
      </c>
      <c r="C14" s="392"/>
      <c r="D14" s="393">
        <v>1</v>
      </c>
      <c r="E14" s="394"/>
      <c r="F14" s="449"/>
      <c r="G14" s="445">
        <v>1</v>
      </c>
      <c r="H14" s="274"/>
      <c r="I14" s="429"/>
      <c r="J14" s="22"/>
      <c r="K14" s="412" t="str">
        <f>IF(OR(M14=$AA$12,M14=$AA$13),H14,"")</f>
        <v/>
      </c>
      <c r="L14" s="412" t="str">
        <f>IF(M14=$AA$14,H14,"")</f>
        <v/>
      </c>
      <c r="M14" s="342"/>
      <c r="N14" s="343"/>
      <c r="O14" s="270"/>
      <c r="P14" s="271"/>
      <c r="Q14" s="271"/>
      <c r="R14" s="343"/>
      <c r="S14" s="180"/>
      <c r="T14" s="181"/>
      <c r="U14" s="181"/>
      <c r="V14" s="180"/>
      <c r="W14" s="181"/>
      <c r="X14" s="181"/>
      <c r="Z14" s="345" t="s">
        <v>295</v>
      </c>
      <c r="AA14" s="346" t="s">
        <v>296</v>
      </c>
      <c r="AB14" s="341"/>
      <c r="AC14" s="341"/>
      <c r="AD14" s="341"/>
    </row>
    <row r="15" spans="1:34" ht="87" customHeight="1" x14ac:dyDescent="0.3">
      <c r="A15" s="390" t="s">
        <v>297</v>
      </c>
      <c r="B15" s="391">
        <v>6</v>
      </c>
      <c r="C15" s="392"/>
      <c r="D15" s="393">
        <v>3</v>
      </c>
      <c r="E15" s="393">
        <v>2</v>
      </c>
      <c r="F15" s="449"/>
      <c r="G15" s="444">
        <v>5</v>
      </c>
      <c r="H15" s="274"/>
      <c r="I15" s="429"/>
      <c r="J15" s="22"/>
      <c r="K15" s="412" t="str">
        <f t="shared" si="0"/>
        <v/>
      </c>
      <c r="L15" s="412" t="str">
        <f t="shared" si="1"/>
        <v/>
      </c>
      <c r="M15" s="342"/>
      <c r="N15" s="343"/>
      <c r="O15" s="270"/>
      <c r="P15" s="271"/>
      <c r="Q15" s="271"/>
      <c r="R15" s="343"/>
      <c r="S15" s="180"/>
      <c r="T15" s="181"/>
      <c r="U15" s="181"/>
      <c r="V15" s="180"/>
      <c r="W15" s="181"/>
      <c r="X15" s="181"/>
      <c r="AA15" s="341"/>
      <c r="AB15" s="341"/>
      <c r="AC15" s="341"/>
      <c r="AD15" s="341"/>
    </row>
    <row r="16" spans="1:34" ht="87" customHeight="1" x14ac:dyDescent="0.3">
      <c r="A16" s="390" t="s">
        <v>298</v>
      </c>
      <c r="B16" s="391">
        <v>7</v>
      </c>
      <c r="C16" s="392"/>
      <c r="D16" s="393">
        <v>2</v>
      </c>
      <c r="E16" s="393">
        <v>2</v>
      </c>
      <c r="F16" s="449"/>
      <c r="G16" s="443">
        <v>4</v>
      </c>
      <c r="H16" s="274"/>
      <c r="I16" s="429"/>
      <c r="J16" s="22"/>
      <c r="K16" s="412" t="str">
        <f t="shared" si="0"/>
        <v/>
      </c>
      <c r="L16" s="412" t="str">
        <f t="shared" si="1"/>
        <v/>
      </c>
      <c r="M16" s="342"/>
      <c r="N16" s="343"/>
      <c r="O16" s="270"/>
      <c r="P16" s="271"/>
      <c r="Q16" s="271"/>
      <c r="R16" s="343"/>
      <c r="S16" s="180"/>
      <c r="T16" s="181"/>
      <c r="U16" s="181"/>
      <c r="V16" s="180"/>
      <c r="W16" s="181"/>
      <c r="X16" s="181"/>
      <c r="AA16" s="341"/>
      <c r="AB16" s="341"/>
      <c r="AC16" s="341"/>
      <c r="AD16" s="341"/>
    </row>
    <row r="17" spans="1:36" ht="87" customHeight="1" x14ac:dyDescent="0.3">
      <c r="A17" s="390" t="s">
        <v>299</v>
      </c>
      <c r="B17" s="391">
        <v>8</v>
      </c>
      <c r="C17" s="392"/>
      <c r="D17" s="393">
        <v>1</v>
      </c>
      <c r="E17" s="393">
        <v>1</v>
      </c>
      <c r="F17" s="449"/>
      <c r="G17" s="443">
        <v>2</v>
      </c>
      <c r="H17" s="274"/>
      <c r="I17" s="429"/>
      <c r="J17" s="22"/>
      <c r="K17" s="412"/>
      <c r="L17" s="412"/>
      <c r="M17" s="342"/>
      <c r="N17" s="343"/>
      <c r="O17" s="270"/>
      <c r="P17" s="271"/>
      <c r="Q17" s="271"/>
      <c r="R17" s="343"/>
      <c r="S17" s="180"/>
      <c r="T17" s="181"/>
      <c r="U17" s="181"/>
      <c r="V17" s="180"/>
      <c r="W17" s="181"/>
      <c r="X17" s="181"/>
      <c r="AA17" s="341"/>
      <c r="AB17" s="341"/>
      <c r="AC17" s="341"/>
      <c r="AD17" s="341"/>
    </row>
    <row r="18" spans="1:36" ht="87" customHeight="1" x14ac:dyDescent="0.3">
      <c r="A18" s="390" t="s">
        <v>300</v>
      </c>
      <c r="B18" s="391">
        <v>9</v>
      </c>
      <c r="C18" s="392"/>
      <c r="D18" s="393">
        <v>1</v>
      </c>
      <c r="E18" s="393">
        <v>1</v>
      </c>
      <c r="F18" s="449"/>
      <c r="G18" s="391">
        <v>2</v>
      </c>
      <c r="H18" s="274"/>
      <c r="I18" s="429"/>
      <c r="J18" s="22"/>
      <c r="K18" s="412" t="str">
        <f>IF(OR(M18=$AA$12,M18=$AA$13),H18,"")</f>
        <v/>
      </c>
      <c r="L18" s="412" t="str">
        <f>IF(M18=$AA$14,H18,"")</f>
        <v/>
      </c>
      <c r="M18" s="342"/>
      <c r="N18" s="343"/>
      <c r="O18" s="270"/>
      <c r="P18" s="271"/>
      <c r="Q18" s="271"/>
      <c r="R18" s="343"/>
      <c r="S18" s="180"/>
      <c r="T18" s="181"/>
      <c r="U18" s="181"/>
      <c r="V18" s="180"/>
      <c r="W18" s="181"/>
      <c r="X18" s="181"/>
      <c r="Y18" s="87">
        <v>1</v>
      </c>
      <c r="AA18" s="341"/>
      <c r="AB18" s="341"/>
      <c r="AC18" s="341"/>
      <c r="AD18" s="341"/>
    </row>
    <row r="19" spans="1:36" ht="37.5" customHeight="1" x14ac:dyDescent="0.3">
      <c r="A19" s="195" t="s">
        <v>301</v>
      </c>
      <c r="B19" s="196"/>
      <c r="C19" s="196"/>
      <c r="D19" s="196"/>
      <c r="E19" s="195"/>
      <c r="F19" s="450"/>
      <c r="G19" s="427">
        <f>SUM(G10:G18)</f>
        <v>17</v>
      </c>
      <c r="H19" s="427">
        <f>SUM(H10:H18)</f>
        <v>0</v>
      </c>
      <c r="I19" s="429" t="str">
        <f>IF(H19&gt;G19,"!","")</f>
        <v/>
      </c>
      <c r="J19" s="22"/>
      <c r="K19" s="413">
        <f>SUM(K10:K18)</f>
        <v>0</v>
      </c>
      <c r="L19" s="413">
        <f>SUM(L10:L18)</f>
        <v>0</v>
      </c>
      <c r="M19" s="347"/>
      <c r="N19" s="347"/>
      <c r="O19" s="347"/>
      <c r="P19" s="347"/>
      <c r="Q19" s="347"/>
      <c r="R19" s="347"/>
      <c r="S19" s="347"/>
      <c r="T19" s="347"/>
      <c r="U19" s="347"/>
      <c r="V19" s="347"/>
      <c r="W19" s="347"/>
      <c r="X19" s="347"/>
      <c r="AE19" s="348"/>
      <c r="AF19" s="349" t="e">
        <f>IF(#REF!=TRUE,0,1)</f>
        <v>#REF!</v>
      </c>
      <c r="AG19" s="350" t="e">
        <f>IF(#REF!=TRUE,1,"-")</f>
        <v>#REF!</v>
      </c>
      <c r="AH19" s="350" t="e">
        <f>IF(#REF!=TRUE,AG19,0)</f>
        <v>#REF!</v>
      </c>
      <c r="AI19" s="350" t="e">
        <f>IF(OR(#REF!=$AA$12,#REF!=$AA$13),AH19,0)</f>
        <v>#REF!</v>
      </c>
      <c r="AJ19" s="351" t="e">
        <f>IF(#REF!=$AA$14,AH19,0)</f>
        <v>#REF!</v>
      </c>
    </row>
    <row r="20" spans="1:36" ht="45" customHeight="1" x14ac:dyDescent="0.3">
      <c r="A20" s="396" t="s">
        <v>302</v>
      </c>
      <c r="B20" s="397"/>
      <c r="C20" s="397"/>
      <c r="D20" s="397"/>
      <c r="E20" s="397"/>
      <c r="F20" s="264"/>
      <c r="G20" s="442"/>
      <c r="H20" s="397"/>
      <c r="I20" s="429" t="str">
        <f>IF(H20&gt;G20,"!","")</f>
        <v/>
      </c>
      <c r="J20" s="22"/>
      <c r="K20" s="397"/>
      <c r="L20" s="397"/>
      <c r="M20" s="264"/>
      <c r="N20" s="264"/>
      <c r="O20" s="184"/>
      <c r="P20" s="183"/>
      <c r="Q20" s="183"/>
      <c r="R20" s="264"/>
      <c r="S20" s="264"/>
      <c r="T20" s="264"/>
      <c r="U20" s="264"/>
      <c r="V20" s="264"/>
      <c r="W20" s="264"/>
      <c r="X20" s="264"/>
      <c r="AE20" s="348">
        <v>10.3</v>
      </c>
      <c r="AF20" s="349" t="e">
        <f>IF(#REF!=TRUE,0,IF(#REF!=FALSE,#REF!,#REF!))</f>
        <v>#REF!</v>
      </c>
      <c r="AG20" s="350" t="e">
        <f>IF(#REF!=TRUE,1,IF(#REF!=TRUE,1-AF20,"-"))</f>
        <v>#REF!</v>
      </c>
      <c r="AH20" s="350" t="e">
        <f>#REF!</f>
        <v>#REF!</v>
      </c>
      <c r="AI20" s="350" t="e">
        <f>IF(OR(#REF!=$AA$12,#REF!=$AA$13),AH20,0)</f>
        <v>#REF!</v>
      </c>
      <c r="AJ20" s="351" t="e">
        <f>IF(#REF!=$AA$14,AH20,0)</f>
        <v>#REF!</v>
      </c>
    </row>
    <row r="21" spans="1:36" ht="87" customHeight="1" x14ac:dyDescent="0.3">
      <c r="A21" s="390" t="s">
        <v>303</v>
      </c>
      <c r="B21" s="391">
        <v>10</v>
      </c>
      <c r="C21" s="395" t="s">
        <v>285</v>
      </c>
      <c r="D21" s="393">
        <v>2</v>
      </c>
      <c r="E21" s="394"/>
      <c r="F21" s="449"/>
      <c r="G21" s="391">
        <v>2</v>
      </c>
      <c r="H21" s="274"/>
      <c r="I21" s="429"/>
      <c r="J21" s="22"/>
      <c r="K21" s="412" t="str">
        <f>IF(OR(M21=$AA$12,M21=$AA$13),H21,"")</f>
        <v/>
      </c>
      <c r="L21" s="412" t="str">
        <f>IF(M21=$AA$14,H21,"")</f>
        <v/>
      </c>
      <c r="M21" s="352"/>
      <c r="N21" s="353"/>
      <c r="O21" s="282"/>
      <c r="P21" s="283"/>
      <c r="Q21" s="283"/>
      <c r="R21" s="353"/>
      <c r="S21" s="180"/>
      <c r="T21" s="181"/>
      <c r="U21" s="181"/>
      <c r="V21" s="180"/>
      <c r="W21" s="181"/>
      <c r="X21" s="181"/>
      <c r="Y21" s="87">
        <v>1</v>
      </c>
      <c r="AA21" s="341"/>
      <c r="AB21" s="341"/>
      <c r="AC21" s="341"/>
      <c r="AD21" s="341"/>
    </row>
    <row r="22" spans="1:36" ht="87" customHeight="1" x14ac:dyDescent="0.3">
      <c r="A22" s="390" t="s">
        <v>304</v>
      </c>
      <c r="B22" s="391">
        <v>11</v>
      </c>
      <c r="C22" s="395" t="s">
        <v>285</v>
      </c>
      <c r="D22" s="393">
        <v>2</v>
      </c>
      <c r="E22" s="393">
        <v>2</v>
      </c>
      <c r="F22" s="449"/>
      <c r="G22" s="391">
        <v>4</v>
      </c>
      <c r="H22" s="274"/>
      <c r="I22" s="429"/>
      <c r="J22" s="22"/>
      <c r="K22" s="412" t="str">
        <f t="shared" ref="K22:K26" si="2">IF(OR(M22=$AA$12,M22=$AA$13),H22,"")</f>
        <v/>
      </c>
      <c r="L22" s="412" t="str">
        <f t="shared" ref="L22:L25" si="3">IF(M22=$AA$14,H22,"")</f>
        <v/>
      </c>
      <c r="M22" s="352"/>
      <c r="N22" s="353"/>
      <c r="O22" s="282"/>
      <c r="P22" s="283"/>
      <c r="Q22" s="283"/>
      <c r="R22" s="353"/>
      <c r="S22" s="180"/>
      <c r="T22" s="181"/>
      <c r="U22" s="181"/>
      <c r="V22" s="180"/>
      <c r="W22" s="181"/>
      <c r="X22" s="181"/>
      <c r="AA22" s="341"/>
      <c r="AB22" s="341"/>
      <c r="AC22" s="341"/>
      <c r="AD22" s="341"/>
    </row>
    <row r="23" spans="1:36" ht="87" customHeight="1" x14ac:dyDescent="0.3">
      <c r="A23" s="390" t="s">
        <v>305</v>
      </c>
      <c r="B23" s="391">
        <v>12</v>
      </c>
      <c r="C23" s="395" t="s">
        <v>285</v>
      </c>
      <c r="D23" s="393">
        <v>2</v>
      </c>
      <c r="E23" s="394"/>
      <c r="F23" s="449"/>
      <c r="G23" s="391">
        <v>2</v>
      </c>
      <c r="H23" s="274"/>
      <c r="I23" s="429"/>
      <c r="J23" s="22"/>
      <c r="K23" s="412" t="str">
        <f t="shared" si="2"/>
        <v/>
      </c>
      <c r="L23" s="412" t="str">
        <f t="shared" si="3"/>
        <v/>
      </c>
      <c r="M23" s="352"/>
      <c r="N23" s="353"/>
      <c r="O23" s="282"/>
      <c r="P23" s="283"/>
      <c r="Q23" s="283"/>
      <c r="R23" s="353"/>
      <c r="S23" s="180"/>
      <c r="T23" s="181"/>
      <c r="U23" s="181"/>
      <c r="V23" s="180"/>
      <c r="W23" s="181"/>
      <c r="X23" s="181"/>
      <c r="AA23" s="341"/>
      <c r="AB23" s="341"/>
      <c r="AC23" s="341"/>
      <c r="AD23" s="341"/>
    </row>
    <row r="24" spans="1:36" ht="87" customHeight="1" x14ac:dyDescent="0.3">
      <c r="A24" s="390" t="s">
        <v>306</v>
      </c>
      <c r="B24" s="391">
        <v>13</v>
      </c>
      <c r="C24" s="395" t="s">
        <v>285</v>
      </c>
      <c r="D24" s="393">
        <v>2</v>
      </c>
      <c r="E24" s="394"/>
      <c r="F24" s="449"/>
      <c r="G24" s="391">
        <v>2</v>
      </c>
      <c r="H24" s="274"/>
      <c r="I24" s="429"/>
      <c r="J24" s="22"/>
      <c r="K24" s="412" t="str">
        <f t="shared" si="2"/>
        <v/>
      </c>
      <c r="L24" s="412" t="str">
        <f t="shared" si="3"/>
        <v/>
      </c>
      <c r="M24" s="352"/>
      <c r="N24" s="353"/>
      <c r="O24" s="282"/>
      <c r="P24" s="283"/>
      <c r="Q24" s="283"/>
      <c r="R24" s="353"/>
      <c r="S24" s="180"/>
      <c r="T24" s="181"/>
      <c r="U24" s="181"/>
      <c r="V24" s="180"/>
      <c r="W24" s="181"/>
      <c r="X24" s="181"/>
      <c r="AA24" s="341"/>
      <c r="AB24" s="341"/>
      <c r="AC24" s="341"/>
      <c r="AD24" s="341"/>
    </row>
    <row r="25" spans="1:36" ht="87" customHeight="1" x14ac:dyDescent="0.3">
      <c r="A25" s="390" t="s">
        <v>307</v>
      </c>
      <c r="B25" s="391">
        <v>14</v>
      </c>
      <c r="C25" s="395" t="s">
        <v>285</v>
      </c>
      <c r="D25" s="393">
        <v>1</v>
      </c>
      <c r="E25" s="393">
        <v>1</v>
      </c>
      <c r="F25" s="449"/>
      <c r="G25" s="391">
        <v>2</v>
      </c>
      <c r="H25" s="274"/>
      <c r="I25" s="429"/>
      <c r="J25" s="22"/>
      <c r="K25" s="412" t="str">
        <f t="shared" si="2"/>
        <v/>
      </c>
      <c r="L25" s="412" t="str">
        <f t="shared" si="3"/>
        <v/>
      </c>
      <c r="M25" s="352"/>
      <c r="N25" s="353"/>
      <c r="O25" s="282"/>
      <c r="P25" s="283"/>
      <c r="Q25" s="283"/>
      <c r="R25" s="353"/>
      <c r="S25" s="180"/>
      <c r="T25" s="181"/>
      <c r="U25" s="181"/>
      <c r="V25" s="180"/>
      <c r="W25" s="181"/>
      <c r="X25" s="181"/>
      <c r="AA25" s="341"/>
      <c r="AB25" s="341"/>
      <c r="AC25" s="341"/>
      <c r="AD25" s="341"/>
    </row>
    <row r="26" spans="1:36" ht="87" customHeight="1" x14ac:dyDescent="0.3">
      <c r="A26" s="390" t="s">
        <v>308</v>
      </c>
      <c r="B26" s="391">
        <v>15</v>
      </c>
      <c r="C26" s="392"/>
      <c r="D26" s="393">
        <v>1</v>
      </c>
      <c r="E26" s="393">
        <v>1</v>
      </c>
      <c r="F26" s="449"/>
      <c r="G26" s="391">
        <v>2</v>
      </c>
      <c r="H26" s="274"/>
      <c r="I26" s="429"/>
      <c r="J26" s="22"/>
      <c r="K26" s="412" t="str">
        <f t="shared" si="2"/>
        <v/>
      </c>
      <c r="L26" s="412" t="str">
        <f>IF(M26=$AA$14,H26,"")</f>
        <v/>
      </c>
      <c r="M26" s="352"/>
      <c r="N26" s="353"/>
      <c r="O26" s="282"/>
      <c r="P26" s="283"/>
      <c r="Q26" s="283"/>
      <c r="R26" s="353"/>
      <c r="S26" s="180"/>
      <c r="T26" s="181"/>
      <c r="U26" s="181"/>
      <c r="V26" s="180"/>
      <c r="W26" s="181"/>
      <c r="X26" s="181"/>
      <c r="Y26" s="87">
        <v>1</v>
      </c>
      <c r="AA26" s="341"/>
      <c r="AB26" s="341"/>
      <c r="AC26" s="341"/>
      <c r="AD26" s="341"/>
    </row>
    <row r="27" spans="1:36" ht="37.25" customHeight="1" x14ac:dyDescent="0.3">
      <c r="A27" s="195" t="s">
        <v>301</v>
      </c>
      <c r="B27" s="196"/>
      <c r="C27" s="196"/>
      <c r="D27" s="196"/>
      <c r="E27" s="195"/>
      <c r="F27" s="451"/>
      <c r="G27" s="427">
        <f>SUM(G21:G26)</f>
        <v>14</v>
      </c>
      <c r="H27" s="427">
        <f>SUM(H21:H26)</f>
        <v>0</v>
      </c>
      <c r="I27" s="429" t="str">
        <f>IF(H27&gt;G27,"!","")</f>
        <v/>
      </c>
      <c r="J27" s="22"/>
      <c r="K27" s="413">
        <f>SUM(K21:K26)</f>
        <v>0</v>
      </c>
      <c r="L27" s="413">
        <f>SUM(L21:L26)</f>
        <v>0</v>
      </c>
      <c r="M27" s="354"/>
      <c r="N27" s="354"/>
      <c r="O27" s="354"/>
      <c r="P27" s="354"/>
      <c r="Q27" s="354"/>
      <c r="R27" s="354"/>
      <c r="S27" s="354"/>
      <c r="T27" s="354"/>
      <c r="U27" s="182"/>
      <c r="V27" s="354"/>
      <c r="W27" s="182"/>
      <c r="X27" s="182"/>
      <c r="AE27" s="348"/>
      <c r="AF27" s="349" t="e">
        <f>IF(#REF!=TRUE,0,1)</f>
        <v>#REF!</v>
      </c>
      <c r="AG27" s="350" t="e">
        <f>IF(#REF!=TRUE,1,"-")</f>
        <v>#REF!</v>
      </c>
      <c r="AH27" s="350" t="e">
        <f>IF(#REF!=TRUE,AG27,0)</f>
        <v>#REF!</v>
      </c>
      <c r="AI27" s="350" t="e">
        <f>IF(OR(#REF!=$AA$12,#REF!=$AA$13),AH27,0)</f>
        <v>#REF!</v>
      </c>
      <c r="AJ27" s="351" t="e">
        <f>IF(#REF!=$AA$14,AH27,0)</f>
        <v>#REF!</v>
      </c>
    </row>
    <row r="28" spans="1:36" ht="37.25" customHeight="1" x14ac:dyDescent="0.3">
      <c r="A28" s="398" t="s">
        <v>309</v>
      </c>
      <c r="B28" s="399"/>
      <c r="C28" s="399"/>
      <c r="D28" s="399"/>
      <c r="E28" s="399"/>
      <c r="F28" s="265"/>
      <c r="G28" s="440"/>
      <c r="H28" s="399"/>
      <c r="I28" s="429" t="str">
        <f>IF(H28&gt;G28,"!","")</f>
        <v/>
      </c>
      <c r="J28" s="22"/>
      <c r="K28" s="399"/>
      <c r="L28" s="399"/>
      <c r="M28" s="265"/>
      <c r="N28" s="265"/>
      <c r="O28" s="265"/>
      <c r="P28" s="265"/>
      <c r="Q28" s="265"/>
      <c r="R28" s="265"/>
      <c r="S28" s="265"/>
      <c r="T28" s="265"/>
      <c r="U28" s="265"/>
      <c r="V28" s="265"/>
      <c r="W28" s="265"/>
      <c r="X28" s="265"/>
      <c r="AE28" s="348"/>
      <c r="AF28" s="349"/>
      <c r="AG28" s="350"/>
      <c r="AH28" s="350"/>
      <c r="AI28" s="350"/>
      <c r="AJ28" s="351"/>
    </row>
    <row r="29" spans="1:36" ht="87" customHeight="1" x14ac:dyDescent="0.3">
      <c r="A29" s="390" t="s">
        <v>310</v>
      </c>
      <c r="B29" s="391">
        <v>16</v>
      </c>
      <c r="C29" s="395" t="s">
        <v>285</v>
      </c>
      <c r="D29" s="393">
        <v>1</v>
      </c>
      <c r="E29" s="394"/>
      <c r="F29" s="452"/>
      <c r="G29" s="391">
        <v>1</v>
      </c>
      <c r="H29" s="274"/>
      <c r="I29" s="429"/>
      <c r="J29" s="22"/>
      <c r="K29" s="412" t="str">
        <f>IF(OR(M29=$AA$12,M29=$AA$13),H29,"")</f>
        <v/>
      </c>
      <c r="L29" s="412" t="str">
        <f>IF(M29=$AA$14,H29,"")</f>
        <v/>
      </c>
      <c r="M29" s="352"/>
      <c r="N29" s="353"/>
      <c r="O29" s="282"/>
      <c r="P29" s="283"/>
      <c r="Q29" s="283"/>
      <c r="R29" s="353"/>
      <c r="S29" s="181"/>
      <c r="T29" s="181"/>
      <c r="U29" s="181"/>
      <c r="V29" s="181"/>
      <c r="W29" s="181"/>
      <c r="X29" s="181"/>
      <c r="Y29" s="87">
        <v>1</v>
      </c>
      <c r="AA29" s="341"/>
      <c r="AB29" s="341"/>
      <c r="AC29" s="341"/>
      <c r="AD29" s="341"/>
    </row>
    <row r="30" spans="1:36" ht="87" customHeight="1" x14ac:dyDescent="0.3">
      <c r="A30" s="390" t="s">
        <v>311</v>
      </c>
      <c r="B30" s="391">
        <v>17</v>
      </c>
      <c r="C30" s="392"/>
      <c r="D30" s="393">
        <v>2</v>
      </c>
      <c r="E30" s="394"/>
      <c r="F30" s="452"/>
      <c r="G30" s="391">
        <v>2</v>
      </c>
      <c r="H30" s="274"/>
      <c r="I30" s="429"/>
      <c r="J30" s="22"/>
      <c r="K30" s="412" t="str">
        <f>IF(OR(M30=$AA$12,M30=$AA$13),H30,"")</f>
        <v/>
      </c>
      <c r="L30" s="412" t="str">
        <f t="shared" ref="L30:L63" si="4">IF(M30=$AA$14,H30,"")</f>
        <v/>
      </c>
      <c r="M30" s="352"/>
      <c r="N30" s="353"/>
      <c r="O30" s="284"/>
      <c r="P30" s="285"/>
      <c r="Q30" s="285"/>
      <c r="R30" s="353"/>
      <c r="S30" s="181"/>
      <c r="T30" s="181"/>
      <c r="U30" s="181"/>
      <c r="V30" s="181"/>
      <c r="W30" s="181"/>
      <c r="X30" s="181"/>
      <c r="AA30" s="341"/>
      <c r="AB30" s="341"/>
      <c r="AC30" s="341"/>
      <c r="AD30" s="341"/>
    </row>
    <row r="31" spans="1:36" ht="87" customHeight="1" x14ac:dyDescent="0.3">
      <c r="A31" s="390" t="s">
        <v>312</v>
      </c>
      <c r="B31" s="391">
        <v>18</v>
      </c>
      <c r="C31" s="392"/>
      <c r="D31" s="393">
        <v>1</v>
      </c>
      <c r="E31" s="394"/>
      <c r="F31" s="452"/>
      <c r="G31" s="391">
        <v>1</v>
      </c>
      <c r="H31" s="274"/>
      <c r="I31" s="429"/>
      <c r="J31" s="22"/>
      <c r="K31" s="412" t="str">
        <f>IF(OR(M31=$AA$12,M31=$AA$13),H31,"")</f>
        <v/>
      </c>
      <c r="L31" s="412" t="str">
        <f t="shared" si="4"/>
        <v/>
      </c>
      <c r="M31" s="352"/>
      <c r="N31" s="353"/>
      <c r="O31" s="284"/>
      <c r="P31" s="285"/>
      <c r="Q31" s="285"/>
      <c r="R31" s="353"/>
      <c r="S31" s="181"/>
      <c r="T31" s="181"/>
      <c r="U31" s="181"/>
      <c r="V31" s="181"/>
      <c r="W31" s="181"/>
      <c r="X31" s="181"/>
      <c r="AA31" s="341"/>
      <c r="AB31" s="341"/>
      <c r="AC31" s="341"/>
      <c r="AD31" s="341"/>
    </row>
    <row r="32" spans="1:36" ht="87" customHeight="1" x14ac:dyDescent="0.3">
      <c r="A32" s="390" t="s">
        <v>313</v>
      </c>
      <c r="B32" s="391">
        <v>19</v>
      </c>
      <c r="C32" s="392"/>
      <c r="D32" s="393">
        <v>1</v>
      </c>
      <c r="E32" s="394"/>
      <c r="F32" s="452"/>
      <c r="G32" s="391">
        <v>1</v>
      </c>
      <c r="H32" s="274"/>
      <c r="I32" s="429"/>
      <c r="J32" s="22"/>
      <c r="K32" s="412" t="str">
        <f>IF(OR(M32=$AA$12,M32=$AA$13),H32,"")</f>
        <v/>
      </c>
      <c r="L32" s="412" t="str">
        <f t="shared" si="4"/>
        <v/>
      </c>
      <c r="M32" s="352"/>
      <c r="N32" s="353"/>
      <c r="O32" s="284"/>
      <c r="P32" s="285"/>
      <c r="Q32" s="285"/>
      <c r="R32" s="353"/>
      <c r="S32" s="181"/>
      <c r="T32" s="181"/>
      <c r="U32" s="181"/>
      <c r="V32" s="181"/>
      <c r="W32" s="181"/>
      <c r="X32" s="181"/>
      <c r="AA32" s="341"/>
      <c r="AB32" s="341"/>
      <c r="AC32" s="341"/>
      <c r="AD32" s="341"/>
    </row>
    <row r="33" spans="1:36" ht="37.25" customHeight="1" x14ac:dyDescent="0.3">
      <c r="A33" s="195" t="s">
        <v>301</v>
      </c>
      <c r="B33" s="196"/>
      <c r="C33" s="196"/>
      <c r="D33" s="196"/>
      <c r="E33" s="195"/>
      <c r="F33" s="451"/>
      <c r="G33" s="427">
        <f>SUM(G29:G32)</f>
        <v>5</v>
      </c>
      <c r="H33" s="427">
        <f>SUM(H29:H32)</f>
        <v>0</v>
      </c>
      <c r="I33" s="429"/>
      <c r="J33" s="22"/>
      <c r="K33" s="413">
        <f>SUM(K29:K32)</f>
        <v>0</v>
      </c>
      <c r="L33" s="413">
        <f>SUM(L29:L32)</f>
        <v>0</v>
      </c>
      <c r="M33" s="354"/>
      <c r="N33" s="354"/>
      <c r="O33" s="355"/>
      <c r="P33" s="273"/>
      <c r="Q33" s="273"/>
      <c r="R33" s="354"/>
      <c r="S33" s="356"/>
      <c r="T33" s="182"/>
      <c r="U33" s="182"/>
      <c r="V33" s="356"/>
      <c r="W33" s="182"/>
      <c r="X33" s="182"/>
      <c r="AE33" s="348"/>
      <c r="AF33" s="349" t="e">
        <f>IF(#REF!=TRUE,0,1)</f>
        <v>#REF!</v>
      </c>
      <c r="AG33" s="350" t="e">
        <f>IF(#REF!=TRUE,1,"-")</f>
        <v>#REF!</v>
      </c>
      <c r="AH33" s="350" t="e">
        <f>IF(#REF!=TRUE,AG33,0)</f>
        <v>#REF!</v>
      </c>
      <c r="AI33" s="350" t="e">
        <f>IF(OR(#REF!=$AA$12,#REF!=$AA$13),AH33,0)</f>
        <v>#REF!</v>
      </c>
      <c r="AJ33" s="351" t="e">
        <f>IF(#REF!=$AA$14,AH33,0)</f>
        <v>#REF!</v>
      </c>
    </row>
    <row r="34" spans="1:36" ht="37.25" customHeight="1" x14ac:dyDescent="0.3">
      <c r="A34" s="400" t="s">
        <v>314</v>
      </c>
      <c r="B34" s="401"/>
      <c r="C34" s="401"/>
      <c r="D34" s="401"/>
      <c r="E34" s="401"/>
      <c r="F34" s="266"/>
      <c r="G34" s="439"/>
      <c r="H34" s="401"/>
      <c r="I34" s="429"/>
      <c r="J34" s="22"/>
      <c r="K34" s="401"/>
      <c r="L34" s="401"/>
      <c r="M34" s="266"/>
      <c r="N34" s="266"/>
      <c r="O34" s="356"/>
      <c r="P34" s="182"/>
      <c r="Q34" s="182"/>
      <c r="R34" s="291"/>
      <c r="S34" s="291"/>
      <c r="T34" s="291"/>
      <c r="U34" s="291"/>
      <c r="V34" s="291"/>
      <c r="W34" s="291"/>
      <c r="X34" s="291"/>
      <c r="AE34" s="348"/>
      <c r="AF34" s="349"/>
      <c r="AG34" s="350"/>
      <c r="AH34" s="350"/>
      <c r="AI34" s="350"/>
      <c r="AJ34" s="351"/>
    </row>
    <row r="35" spans="1:36" ht="87" customHeight="1" x14ac:dyDescent="0.3">
      <c r="A35" s="390" t="s">
        <v>315</v>
      </c>
      <c r="B35" s="391">
        <v>20</v>
      </c>
      <c r="C35" s="392"/>
      <c r="D35" s="393">
        <v>2</v>
      </c>
      <c r="E35" s="393">
        <v>2</v>
      </c>
      <c r="F35" s="452"/>
      <c r="G35" s="391">
        <v>4</v>
      </c>
      <c r="H35" s="274"/>
      <c r="I35" s="429"/>
      <c r="J35" s="22"/>
      <c r="K35" s="412" t="str">
        <f t="shared" ref="K35:K41" si="5">IF(OR(M35=$AA$12,M35=$AA$13),H35,"")</f>
        <v/>
      </c>
      <c r="L35" s="412" t="str">
        <f t="shared" si="4"/>
        <v/>
      </c>
      <c r="M35" s="352"/>
      <c r="N35" s="353"/>
      <c r="O35" s="284"/>
      <c r="P35" s="285"/>
      <c r="Q35" s="285"/>
      <c r="R35" s="353"/>
      <c r="S35" s="353"/>
      <c r="T35" s="353"/>
      <c r="U35" s="353"/>
      <c r="V35" s="353"/>
      <c r="W35" s="353"/>
      <c r="X35" s="353"/>
      <c r="AA35" s="341"/>
      <c r="AB35" s="341"/>
      <c r="AC35" s="341"/>
      <c r="AD35" s="341"/>
    </row>
    <row r="36" spans="1:36" ht="87" customHeight="1" x14ac:dyDescent="0.3">
      <c r="A36" s="390" t="s">
        <v>316</v>
      </c>
      <c r="B36" s="391">
        <v>21</v>
      </c>
      <c r="C36" s="395" t="s">
        <v>285</v>
      </c>
      <c r="D36" s="393">
        <v>4</v>
      </c>
      <c r="E36" s="393">
        <v>4</v>
      </c>
      <c r="F36" s="452"/>
      <c r="G36" s="391">
        <v>8</v>
      </c>
      <c r="H36" s="274"/>
      <c r="I36" s="429"/>
      <c r="J36" s="22"/>
      <c r="K36" s="412" t="str">
        <f t="shared" si="5"/>
        <v/>
      </c>
      <c r="L36" s="412" t="str">
        <f t="shared" si="4"/>
        <v/>
      </c>
      <c r="M36" s="352"/>
      <c r="N36" s="353"/>
      <c r="O36" s="284"/>
      <c r="P36" s="285"/>
      <c r="Q36" s="285"/>
      <c r="R36" s="353"/>
      <c r="S36" s="353"/>
      <c r="T36" s="353"/>
      <c r="U36" s="353"/>
      <c r="V36" s="353"/>
      <c r="W36" s="353"/>
      <c r="X36" s="353"/>
      <c r="AA36" s="341"/>
      <c r="AB36" s="341"/>
      <c r="AC36" s="341"/>
      <c r="AD36" s="341"/>
    </row>
    <row r="37" spans="1:36" ht="87" customHeight="1" x14ac:dyDescent="0.3">
      <c r="A37" s="390" t="s">
        <v>317</v>
      </c>
      <c r="B37" s="391">
        <v>22</v>
      </c>
      <c r="C37" s="395" t="s">
        <v>285</v>
      </c>
      <c r="D37" s="393">
        <v>3</v>
      </c>
      <c r="E37" s="393">
        <v>4</v>
      </c>
      <c r="F37" s="452"/>
      <c r="G37" s="391">
        <v>7</v>
      </c>
      <c r="H37" s="274"/>
      <c r="I37" s="429"/>
      <c r="J37" s="22"/>
      <c r="K37" s="412" t="str">
        <f t="shared" si="5"/>
        <v/>
      </c>
      <c r="L37" s="412" t="str">
        <f t="shared" si="4"/>
        <v/>
      </c>
      <c r="M37" s="352"/>
      <c r="N37" s="353"/>
      <c r="O37" s="284"/>
      <c r="P37" s="285"/>
      <c r="Q37" s="285"/>
      <c r="R37" s="353"/>
      <c r="S37" s="353"/>
      <c r="T37" s="353"/>
      <c r="U37" s="353"/>
      <c r="V37" s="353"/>
      <c r="W37" s="353"/>
      <c r="X37" s="353"/>
      <c r="AA37" s="341"/>
      <c r="AB37" s="341"/>
      <c r="AC37" s="341"/>
      <c r="AD37" s="341"/>
    </row>
    <row r="38" spans="1:36" ht="87" customHeight="1" x14ac:dyDescent="0.3">
      <c r="A38" s="390" t="s">
        <v>318</v>
      </c>
      <c r="B38" s="391">
        <v>23</v>
      </c>
      <c r="C38" s="395" t="s">
        <v>285</v>
      </c>
      <c r="D38" s="393">
        <v>1</v>
      </c>
      <c r="E38" s="393">
        <v>1</v>
      </c>
      <c r="F38" s="452"/>
      <c r="G38" s="391">
        <v>2</v>
      </c>
      <c r="H38" s="274"/>
      <c r="I38" s="429"/>
      <c r="J38" s="22"/>
      <c r="K38" s="412" t="str">
        <f t="shared" si="5"/>
        <v/>
      </c>
      <c r="L38" s="412" t="str">
        <f t="shared" si="4"/>
        <v/>
      </c>
      <c r="M38" s="352"/>
      <c r="N38" s="353"/>
      <c r="O38" s="284"/>
      <c r="P38" s="285"/>
      <c r="Q38" s="285"/>
      <c r="R38" s="353"/>
      <c r="S38" s="353"/>
      <c r="T38" s="353"/>
      <c r="U38" s="353"/>
      <c r="V38" s="353"/>
      <c r="W38" s="353"/>
      <c r="X38" s="353"/>
      <c r="AA38" s="341"/>
      <c r="AB38" s="341"/>
      <c r="AC38" s="341"/>
      <c r="AD38" s="341"/>
    </row>
    <row r="39" spans="1:36" ht="87" customHeight="1" x14ac:dyDescent="0.3">
      <c r="A39" s="390" t="s">
        <v>319</v>
      </c>
      <c r="B39" s="391">
        <v>24</v>
      </c>
      <c r="C39" s="392"/>
      <c r="D39" s="393">
        <v>2</v>
      </c>
      <c r="E39" s="393">
        <v>2</v>
      </c>
      <c r="F39" s="452"/>
      <c r="G39" s="391">
        <v>4</v>
      </c>
      <c r="H39" s="274"/>
      <c r="I39" s="429"/>
      <c r="J39" s="22"/>
      <c r="K39" s="412" t="str">
        <f t="shared" si="5"/>
        <v/>
      </c>
      <c r="L39" s="412" t="str">
        <f t="shared" si="4"/>
        <v/>
      </c>
      <c r="M39" s="352"/>
      <c r="N39" s="353"/>
      <c r="O39" s="284"/>
      <c r="P39" s="285"/>
      <c r="Q39" s="285"/>
      <c r="R39" s="353"/>
      <c r="S39" s="353"/>
      <c r="T39" s="353"/>
      <c r="U39" s="353"/>
      <c r="V39" s="353"/>
      <c r="W39" s="353"/>
      <c r="X39" s="353"/>
      <c r="AA39" s="341"/>
      <c r="AB39" s="341"/>
      <c r="AC39" s="341"/>
      <c r="AD39" s="341"/>
    </row>
    <row r="40" spans="1:36" ht="87" customHeight="1" x14ac:dyDescent="0.3">
      <c r="A40" s="390" t="s">
        <v>320</v>
      </c>
      <c r="B40" s="391">
        <v>25</v>
      </c>
      <c r="C40" s="395" t="s">
        <v>285</v>
      </c>
      <c r="D40" s="393">
        <v>3</v>
      </c>
      <c r="E40" s="393">
        <v>3</v>
      </c>
      <c r="F40" s="452"/>
      <c r="G40" s="391">
        <v>6</v>
      </c>
      <c r="H40" s="274"/>
      <c r="I40" s="429"/>
      <c r="J40" s="22"/>
      <c r="K40" s="412" t="str">
        <f t="shared" si="5"/>
        <v/>
      </c>
      <c r="L40" s="412" t="str">
        <f t="shared" si="4"/>
        <v/>
      </c>
      <c r="M40" s="352"/>
      <c r="N40" s="353"/>
      <c r="O40" s="284"/>
      <c r="P40" s="285"/>
      <c r="Q40" s="285"/>
      <c r="R40" s="353"/>
      <c r="S40" s="353"/>
      <c r="T40" s="353"/>
      <c r="U40" s="353"/>
      <c r="V40" s="353"/>
      <c r="W40" s="353"/>
      <c r="X40" s="353"/>
      <c r="AA40" s="341"/>
      <c r="AB40" s="341"/>
      <c r="AC40" s="341"/>
      <c r="AD40" s="341"/>
    </row>
    <row r="41" spans="1:36" ht="87" customHeight="1" x14ac:dyDescent="0.3">
      <c r="A41" s="390" t="s">
        <v>321</v>
      </c>
      <c r="B41" s="391">
        <v>26</v>
      </c>
      <c r="C41" s="392"/>
      <c r="D41" s="393">
        <v>1</v>
      </c>
      <c r="E41" s="393">
        <v>1</v>
      </c>
      <c r="F41" s="452"/>
      <c r="G41" s="391">
        <v>2</v>
      </c>
      <c r="H41" s="274"/>
      <c r="I41" s="429"/>
      <c r="J41" s="22"/>
      <c r="K41" s="412" t="str">
        <f t="shared" si="5"/>
        <v/>
      </c>
      <c r="L41" s="412" t="str">
        <f t="shared" si="4"/>
        <v/>
      </c>
      <c r="M41" s="352"/>
      <c r="N41" s="353"/>
      <c r="O41" s="284"/>
      <c r="P41" s="285"/>
      <c r="Q41" s="285"/>
      <c r="R41" s="353"/>
      <c r="S41" s="353"/>
      <c r="T41" s="353"/>
      <c r="U41" s="353"/>
      <c r="V41" s="353"/>
      <c r="W41" s="353"/>
      <c r="X41" s="353"/>
      <c r="AA41" s="341"/>
      <c r="AB41" s="341"/>
      <c r="AC41" s="341"/>
      <c r="AD41" s="341"/>
    </row>
    <row r="42" spans="1:36" ht="37.25" customHeight="1" x14ac:dyDescent="0.3">
      <c r="A42" s="195" t="s">
        <v>301</v>
      </c>
      <c r="B42" s="196"/>
      <c r="C42" s="196"/>
      <c r="D42" s="196"/>
      <c r="E42" s="195"/>
      <c r="F42" s="451"/>
      <c r="G42" s="427">
        <f>SUM(G35:G41)</f>
        <v>33</v>
      </c>
      <c r="H42" s="427">
        <f>SUM(H35:H41)</f>
        <v>0</v>
      </c>
      <c r="I42" s="429"/>
      <c r="J42" s="22"/>
      <c r="K42" s="413">
        <f>SUM(K35:K41)</f>
        <v>0</v>
      </c>
      <c r="L42" s="413">
        <f>SUM(L35:L41)</f>
        <v>0</v>
      </c>
      <c r="M42" s="382"/>
      <c r="N42" s="182"/>
      <c r="O42" s="356"/>
      <c r="P42" s="182"/>
      <c r="Q42" s="182"/>
      <c r="R42" s="182"/>
      <c r="S42" s="356"/>
      <c r="T42" s="182"/>
      <c r="U42" s="182"/>
      <c r="V42" s="356"/>
      <c r="W42" s="182"/>
      <c r="X42" s="182"/>
      <c r="AE42" s="348"/>
      <c r="AF42" s="349" t="e">
        <f>IF(#REF!=TRUE,0,1)</f>
        <v>#REF!</v>
      </c>
      <c r="AG42" s="350" t="e">
        <f>IF(#REF!=TRUE,1,"-")</f>
        <v>#REF!</v>
      </c>
      <c r="AH42" s="350" t="e">
        <f>IF(#REF!=TRUE,AG42,0)</f>
        <v>#REF!</v>
      </c>
      <c r="AI42" s="350" t="e">
        <f>IF(OR(#REF!=$AA$12,#REF!=$AA$13),AH42,0)</f>
        <v>#REF!</v>
      </c>
      <c r="AJ42" s="351" t="e">
        <f>IF(#REF!=$AA$14,AH42,0)</f>
        <v>#REF!</v>
      </c>
    </row>
    <row r="43" spans="1:36" ht="37.25" customHeight="1" x14ac:dyDescent="0.3">
      <c r="A43" s="402" t="s">
        <v>322</v>
      </c>
      <c r="B43" s="402"/>
      <c r="C43" s="402"/>
      <c r="D43" s="402"/>
      <c r="E43" s="402"/>
      <c r="F43" s="267"/>
      <c r="G43" s="438"/>
      <c r="H43" s="402"/>
      <c r="I43" s="429"/>
      <c r="J43" s="22"/>
      <c r="K43" s="402"/>
      <c r="L43" s="402"/>
      <c r="M43" s="267"/>
      <c r="N43" s="267"/>
      <c r="O43" s="356"/>
      <c r="P43" s="182"/>
      <c r="Q43" s="182"/>
      <c r="R43" s="267"/>
      <c r="S43" s="267"/>
      <c r="T43" s="267"/>
      <c r="U43" s="267"/>
      <c r="V43" s="267"/>
      <c r="W43" s="267"/>
      <c r="X43" s="267"/>
      <c r="AE43" s="348"/>
      <c r="AF43" s="349"/>
      <c r="AG43" s="350"/>
      <c r="AH43" s="350"/>
      <c r="AI43" s="350"/>
      <c r="AJ43" s="351"/>
    </row>
    <row r="44" spans="1:36" ht="87" customHeight="1" x14ac:dyDescent="0.3">
      <c r="A44" s="390" t="s">
        <v>323</v>
      </c>
      <c r="B44" s="391">
        <v>27</v>
      </c>
      <c r="C44" s="395" t="s">
        <v>285</v>
      </c>
      <c r="D44" s="393">
        <v>3</v>
      </c>
      <c r="E44" s="394"/>
      <c r="F44" s="452"/>
      <c r="G44" s="391">
        <v>3</v>
      </c>
      <c r="H44" s="274"/>
      <c r="I44" s="429"/>
      <c r="J44" s="22"/>
      <c r="K44" s="412" t="str">
        <f>IF(OR(M44=$AA$12,M44=$AA$13),H44,"")</f>
        <v/>
      </c>
      <c r="L44" s="412" t="str">
        <f t="shared" si="4"/>
        <v/>
      </c>
      <c r="M44" s="352"/>
      <c r="N44" s="353"/>
      <c r="O44" s="284"/>
      <c r="P44" s="285"/>
      <c r="Q44" s="285"/>
      <c r="R44" s="353"/>
      <c r="S44" s="353"/>
      <c r="T44" s="353"/>
      <c r="U44" s="353"/>
      <c r="V44" s="353"/>
      <c r="W44" s="353"/>
      <c r="X44" s="353"/>
      <c r="AA44" s="341"/>
      <c r="AB44" s="341"/>
      <c r="AC44" s="341"/>
      <c r="AD44" s="341"/>
    </row>
    <row r="45" spans="1:36" ht="87" customHeight="1" x14ac:dyDescent="0.3">
      <c r="A45" s="390" t="s">
        <v>324</v>
      </c>
      <c r="B45" s="391">
        <v>28</v>
      </c>
      <c r="C45" s="392"/>
      <c r="D45" s="393">
        <v>2</v>
      </c>
      <c r="E45" s="394"/>
      <c r="F45" s="452"/>
      <c r="G45" s="391">
        <v>2</v>
      </c>
      <c r="H45" s="274"/>
      <c r="I45" s="429"/>
      <c r="J45" s="22"/>
      <c r="K45" s="412" t="str">
        <f>IF(OR(M45=$AA$12,M45=$AA$13),H45,"")</f>
        <v/>
      </c>
      <c r="L45" s="412" t="str">
        <f t="shared" si="4"/>
        <v/>
      </c>
      <c r="M45" s="352"/>
      <c r="N45" s="353"/>
      <c r="O45" s="284"/>
      <c r="P45" s="285"/>
      <c r="Q45" s="285"/>
      <c r="R45" s="353"/>
      <c r="S45" s="353"/>
      <c r="T45" s="353"/>
      <c r="U45" s="353"/>
      <c r="V45" s="353"/>
      <c r="W45" s="353"/>
      <c r="X45" s="353"/>
      <c r="AA45" s="341"/>
      <c r="AB45" s="341"/>
      <c r="AC45" s="341"/>
      <c r="AD45" s="341"/>
    </row>
    <row r="46" spans="1:36" ht="87" customHeight="1" x14ac:dyDescent="0.3">
      <c r="A46" s="390" t="s">
        <v>325</v>
      </c>
      <c r="B46" s="391">
        <v>29</v>
      </c>
      <c r="C46" s="392"/>
      <c r="D46" s="393">
        <v>2</v>
      </c>
      <c r="E46" s="394"/>
      <c r="F46" s="452"/>
      <c r="G46" s="391">
        <v>2</v>
      </c>
      <c r="H46" s="185"/>
      <c r="I46" s="429"/>
      <c r="J46" s="22"/>
      <c r="K46" s="412" t="str">
        <f>IF(OR(M46=$AA$12,M46=$AA$13),H46,"")</f>
        <v/>
      </c>
      <c r="L46" s="412" t="str">
        <f t="shared" si="4"/>
        <v/>
      </c>
      <c r="M46" s="352"/>
      <c r="N46" s="353"/>
      <c r="O46" s="284"/>
      <c r="P46" s="285"/>
      <c r="Q46" s="285"/>
      <c r="R46" s="353"/>
      <c r="S46" s="353"/>
      <c r="T46" s="353"/>
      <c r="U46" s="353"/>
      <c r="V46" s="353"/>
      <c r="W46" s="353"/>
      <c r="X46" s="353"/>
      <c r="AA46" s="341"/>
      <c r="AB46" s="341"/>
      <c r="AC46" s="341"/>
      <c r="AD46" s="341"/>
    </row>
    <row r="47" spans="1:36" ht="87" customHeight="1" x14ac:dyDescent="0.3">
      <c r="A47" s="390" t="s">
        <v>326</v>
      </c>
      <c r="B47" s="391">
        <v>30</v>
      </c>
      <c r="C47" s="392"/>
      <c r="D47" s="393">
        <v>1</v>
      </c>
      <c r="E47" s="394"/>
      <c r="F47" s="452"/>
      <c r="G47" s="391">
        <v>1</v>
      </c>
      <c r="H47" s="185"/>
      <c r="I47" s="429"/>
      <c r="J47" s="22"/>
      <c r="K47" s="412" t="str">
        <f>IF(OR(M47=$AA$12,M47=$AA$13),H47,"")</f>
        <v/>
      </c>
      <c r="L47" s="412" t="str">
        <f t="shared" si="4"/>
        <v/>
      </c>
      <c r="M47" s="352"/>
      <c r="N47" s="353"/>
      <c r="O47" s="284"/>
      <c r="P47" s="285"/>
      <c r="Q47" s="285"/>
      <c r="R47" s="353"/>
      <c r="S47" s="353"/>
      <c r="T47" s="353"/>
      <c r="U47" s="353"/>
      <c r="V47" s="353"/>
      <c r="W47" s="353"/>
      <c r="X47" s="353"/>
      <c r="AA47" s="341"/>
      <c r="AB47" s="341"/>
      <c r="AC47" s="341"/>
      <c r="AD47" s="341"/>
    </row>
    <row r="48" spans="1:36" ht="37.25" customHeight="1" x14ac:dyDescent="0.3">
      <c r="A48" s="195" t="s">
        <v>301</v>
      </c>
      <c r="B48" s="196"/>
      <c r="C48" s="196"/>
      <c r="D48" s="196"/>
      <c r="E48" s="195"/>
      <c r="F48" s="451"/>
      <c r="G48" s="427">
        <f>SUM(G44:G47)</f>
        <v>8</v>
      </c>
      <c r="H48" s="427">
        <f>SUM(H44:H47)</f>
        <v>0</v>
      </c>
      <c r="I48" s="429"/>
      <c r="J48" s="22"/>
      <c r="K48" s="413">
        <f>SUM(K44:K47)</f>
        <v>0</v>
      </c>
      <c r="L48" s="413">
        <f>SUM(L44:L47)</f>
        <v>0</v>
      </c>
      <c r="M48" s="382"/>
      <c r="N48" s="182"/>
      <c r="O48" s="356"/>
      <c r="P48" s="182"/>
      <c r="Q48" s="182"/>
      <c r="R48" s="182"/>
      <c r="S48" s="356"/>
      <c r="T48" s="182"/>
      <c r="U48" s="182"/>
      <c r="V48" s="356"/>
      <c r="W48" s="182"/>
      <c r="X48" s="182"/>
      <c r="AE48" s="348"/>
      <c r="AF48" s="349" t="e">
        <f>IF(#REF!=TRUE,0,1)</f>
        <v>#REF!</v>
      </c>
      <c r="AG48" s="350" t="e">
        <f>IF(#REF!=TRUE,1,"-")</f>
        <v>#REF!</v>
      </c>
      <c r="AH48" s="350" t="e">
        <f>IF(#REF!=TRUE,AG48,0)</f>
        <v>#REF!</v>
      </c>
      <c r="AI48" s="350" t="e">
        <f>IF(OR(#REF!=$AA$12,#REF!=$AA$13),AH48,0)</f>
        <v>#REF!</v>
      </c>
      <c r="AJ48" s="351" t="e">
        <f>IF(#REF!=$AA$14,AH48,0)</f>
        <v>#REF!</v>
      </c>
    </row>
    <row r="49" spans="1:36" ht="37.25" customHeight="1" x14ac:dyDescent="0.3">
      <c r="A49" s="403" t="s">
        <v>327</v>
      </c>
      <c r="B49" s="403"/>
      <c r="C49" s="403"/>
      <c r="D49" s="403"/>
      <c r="E49" s="403"/>
      <c r="F49" s="453"/>
      <c r="G49" s="437"/>
      <c r="H49" s="403"/>
      <c r="I49" s="429"/>
      <c r="J49" s="22"/>
      <c r="K49" s="403"/>
      <c r="L49" s="403"/>
      <c r="M49" s="286"/>
      <c r="N49" s="286"/>
      <c r="O49" s="286"/>
      <c r="P49" s="286"/>
      <c r="Q49" s="286"/>
      <c r="R49" s="286"/>
      <c r="S49" s="286"/>
      <c r="T49" s="286"/>
      <c r="U49" s="286"/>
      <c r="V49" s="286"/>
      <c r="W49" s="286"/>
      <c r="X49" s="286"/>
      <c r="AE49" s="348"/>
      <c r="AF49" s="349"/>
      <c r="AG49" s="350"/>
      <c r="AH49" s="350"/>
      <c r="AI49" s="350"/>
      <c r="AJ49" s="351"/>
    </row>
    <row r="50" spans="1:36" ht="87" customHeight="1" x14ac:dyDescent="0.3">
      <c r="A50" s="390" t="s">
        <v>328</v>
      </c>
      <c r="B50" s="391">
        <v>31</v>
      </c>
      <c r="C50" s="395" t="s">
        <v>285</v>
      </c>
      <c r="D50" s="393">
        <v>1</v>
      </c>
      <c r="E50" s="394"/>
      <c r="F50" s="452"/>
      <c r="G50" s="391">
        <v>1</v>
      </c>
      <c r="H50" s="185"/>
      <c r="I50" s="429"/>
      <c r="J50" s="22"/>
      <c r="K50" s="412" t="str">
        <f>IF(OR(M50=$AA$12,M50=$AA$13),H50,"")</f>
        <v/>
      </c>
      <c r="L50" s="412" t="str">
        <f t="shared" si="4"/>
        <v/>
      </c>
      <c r="M50" s="357"/>
      <c r="N50" s="358"/>
      <c r="O50" s="287"/>
      <c r="P50" s="288"/>
      <c r="Q50" s="288"/>
      <c r="R50" s="358"/>
      <c r="S50" s="353"/>
      <c r="T50" s="353"/>
      <c r="U50" s="353"/>
      <c r="V50" s="353"/>
      <c r="W50" s="353"/>
      <c r="X50" s="353"/>
      <c r="AA50" s="341"/>
      <c r="AB50" s="341"/>
      <c r="AC50" s="341"/>
      <c r="AD50" s="341"/>
    </row>
    <row r="51" spans="1:36" ht="87" customHeight="1" x14ac:dyDescent="0.3">
      <c r="A51" s="390" t="s">
        <v>329</v>
      </c>
      <c r="B51" s="391">
        <v>32</v>
      </c>
      <c r="C51" s="392"/>
      <c r="D51" s="393">
        <v>1</v>
      </c>
      <c r="E51" s="393">
        <v>1</v>
      </c>
      <c r="F51" s="452"/>
      <c r="G51" s="391">
        <v>2</v>
      </c>
      <c r="H51" s="185"/>
      <c r="I51" s="429"/>
      <c r="J51" s="22"/>
      <c r="K51" s="412" t="str">
        <f>IF(OR(M51=$AA$12,M51=$AA$13),H51,"")</f>
        <v/>
      </c>
      <c r="L51" s="412" t="str">
        <f t="shared" si="4"/>
        <v/>
      </c>
      <c r="M51" s="357"/>
      <c r="N51" s="358"/>
      <c r="O51" s="287"/>
      <c r="P51" s="288"/>
      <c r="Q51" s="288"/>
      <c r="R51" s="358"/>
      <c r="S51" s="353"/>
      <c r="T51" s="353"/>
      <c r="U51" s="353"/>
      <c r="V51" s="353"/>
      <c r="W51" s="353"/>
      <c r="X51" s="353"/>
      <c r="AA51" s="341"/>
      <c r="AB51" s="341"/>
      <c r="AC51" s="341"/>
      <c r="AD51" s="341"/>
    </row>
    <row r="52" spans="1:36" ht="87" customHeight="1" x14ac:dyDescent="0.3">
      <c r="A52" s="390" t="s">
        <v>330</v>
      </c>
      <c r="B52" s="391">
        <v>33</v>
      </c>
      <c r="C52" s="392"/>
      <c r="D52" s="393">
        <v>2</v>
      </c>
      <c r="E52" s="393">
        <v>1</v>
      </c>
      <c r="F52" s="452"/>
      <c r="G52" s="391">
        <v>3</v>
      </c>
      <c r="H52" s="185"/>
      <c r="I52" s="429"/>
      <c r="J52" s="22"/>
      <c r="K52" s="412" t="str">
        <f>IF(OR(M52=$AA$12,M52=$AA$13),H52,"")</f>
        <v/>
      </c>
      <c r="L52" s="412" t="str">
        <f t="shared" si="4"/>
        <v/>
      </c>
      <c r="M52" s="357"/>
      <c r="N52" s="358"/>
      <c r="O52" s="287"/>
      <c r="P52" s="288"/>
      <c r="Q52" s="288"/>
      <c r="R52" s="358"/>
      <c r="S52" s="353"/>
      <c r="T52" s="353"/>
      <c r="U52" s="353"/>
      <c r="V52" s="353"/>
      <c r="W52" s="353"/>
      <c r="X52" s="353"/>
      <c r="AA52" s="341"/>
      <c r="AB52" s="341"/>
      <c r="AC52" s="341"/>
      <c r="AD52" s="341"/>
    </row>
    <row r="53" spans="1:36" ht="87" customHeight="1" x14ac:dyDescent="0.3">
      <c r="A53" s="390" t="s">
        <v>331</v>
      </c>
      <c r="B53" s="391">
        <v>34</v>
      </c>
      <c r="C53" s="392"/>
      <c r="D53" s="393">
        <v>2</v>
      </c>
      <c r="E53" s="393">
        <v>1</v>
      </c>
      <c r="F53" s="452"/>
      <c r="G53" s="391">
        <v>3</v>
      </c>
      <c r="H53" s="185"/>
      <c r="I53" s="429"/>
      <c r="J53" s="22"/>
      <c r="K53" s="412" t="str">
        <f>IF(OR(M53=$AA$12,M53=$AA$13),H53,"")</f>
        <v/>
      </c>
      <c r="L53" s="412" t="str">
        <f t="shared" si="4"/>
        <v/>
      </c>
      <c r="M53" s="357"/>
      <c r="N53" s="358"/>
      <c r="O53" s="287"/>
      <c r="P53" s="288"/>
      <c r="Q53" s="288"/>
      <c r="R53" s="358"/>
      <c r="S53" s="353"/>
      <c r="T53" s="353"/>
      <c r="U53" s="353"/>
      <c r="V53" s="353"/>
      <c r="W53" s="353"/>
      <c r="X53" s="353"/>
      <c r="AA53" s="341"/>
      <c r="AB53" s="341"/>
      <c r="AC53" s="341"/>
      <c r="AD53" s="341"/>
    </row>
    <row r="54" spans="1:36" ht="37.25" customHeight="1" x14ac:dyDescent="0.3">
      <c r="A54" s="195" t="s">
        <v>301</v>
      </c>
      <c r="B54" s="196"/>
      <c r="C54" s="196"/>
      <c r="D54" s="196"/>
      <c r="E54" s="195"/>
      <c r="F54" s="451"/>
      <c r="G54" s="427">
        <f>SUM(G50:G53)</f>
        <v>9</v>
      </c>
      <c r="H54" s="428">
        <f>SUM(H50:H53)</f>
        <v>0</v>
      </c>
      <c r="I54" s="429"/>
      <c r="J54" s="22"/>
      <c r="K54" s="413">
        <f>SUM(K50:K53)</f>
        <v>0</v>
      </c>
      <c r="L54" s="413">
        <f>SUM(L50:L53)</f>
        <v>0</v>
      </c>
      <c r="M54" s="382"/>
      <c r="N54" s="182"/>
      <c r="O54" s="356"/>
      <c r="P54" s="182"/>
      <c r="Q54" s="182"/>
      <c r="R54" s="182"/>
      <c r="S54" s="356"/>
      <c r="T54" s="182"/>
      <c r="U54" s="182"/>
      <c r="V54" s="356"/>
      <c r="W54" s="182"/>
      <c r="X54" s="182"/>
      <c r="AE54" s="348"/>
      <c r="AF54" s="349" t="e">
        <f>IF(#REF!=TRUE,0,1)</f>
        <v>#REF!</v>
      </c>
      <c r="AG54" s="350" t="e">
        <f>IF(#REF!=TRUE,1,"-")</f>
        <v>#REF!</v>
      </c>
      <c r="AH54" s="350" t="e">
        <f>IF(#REF!=TRUE,AG54,0)</f>
        <v>#REF!</v>
      </c>
      <c r="AI54" s="350" t="e">
        <f>IF(OR(#REF!=$AA$12,#REF!=$AA$13),AH54,0)</f>
        <v>#REF!</v>
      </c>
      <c r="AJ54" s="351" t="e">
        <f>IF(#REF!=$AA$14,AH54,0)</f>
        <v>#REF!</v>
      </c>
    </row>
    <row r="55" spans="1:36" ht="37.25" customHeight="1" x14ac:dyDescent="0.3">
      <c r="A55" s="404" t="s">
        <v>332</v>
      </c>
      <c r="B55" s="405"/>
      <c r="C55" s="405"/>
      <c r="D55" s="405"/>
      <c r="E55" s="405"/>
      <c r="F55" s="454"/>
      <c r="G55" s="436"/>
      <c r="H55" s="405"/>
      <c r="I55" s="429"/>
      <c r="J55" s="22"/>
      <c r="K55" s="405" t="str">
        <f>IF(OR(M55=$AA$12,M55=$AA$13),H55,"")</f>
        <v/>
      </c>
      <c r="L55" s="405" t="str">
        <f>IF(OR(N55=$AA$12,N55=$AA$13),I55,"")</f>
        <v/>
      </c>
      <c r="M55" s="289" t="str">
        <f t="shared" ref="M55" si="6">IF(OR(O55=$AA$12,O55=$AA$13),J55,"")</f>
        <v/>
      </c>
      <c r="N55" s="289" t="str">
        <f t="shared" ref="N55" si="7">IF(OR(P55=$AA$12,P55=$AA$13),K55,"")</f>
        <v/>
      </c>
      <c r="O55" s="289" t="str">
        <f t="shared" ref="O55" si="8">IF(OR(Q55=$AA$12,Q55=$AA$13),L55,"")</f>
        <v/>
      </c>
      <c r="P55" s="289" t="str">
        <f t="shared" ref="P55" si="9">IF(OR(R55=$AA$12,R55=$AA$13),M55,"")</f>
        <v/>
      </c>
      <c r="Q55" s="289" t="str">
        <f>IF(OR(V55=$AA$12,V55=$AA$13),N55,"")</f>
        <v/>
      </c>
      <c r="R55" s="289" t="str">
        <f>IF(OR(W55=$AA$12,W55=$AA$13),O55,"")</f>
        <v/>
      </c>
      <c r="S55" s="289"/>
      <c r="T55" s="289"/>
      <c r="U55" s="289"/>
      <c r="V55" s="289"/>
      <c r="W55" s="289"/>
      <c r="X55" s="289"/>
      <c r="AE55" s="348"/>
      <c r="AF55" s="359"/>
      <c r="AG55" s="360"/>
      <c r="AH55" s="360"/>
      <c r="AI55" s="360"/>
      <c r="AJ55" s="360"/>
    </row>
    <row r="56" spans="1:36" ht="87" customHeight="1" x14ac:dyDescent="0.3">
      <c r="A56" s="390" t="s">
        <v>333</v>
      </c>
      <c r="B56" s="391">
        <v>35</v>
      </c>
      <c r="C56" s="395" t="s">
        <v>285</v>
      </c>
      <c r="D56" s="393">
        <v>2</v>
      </c>
      <c r="E56" s="394"/>
      <c r="F56" s="452"/>
      <c r="G56" s="391">
        <v>2</v>
      </c>
      <c r="H56" s="185"/>
      <c r="I56" s="429"/>
      <c r="J56" s="22"/>
      <c r="K56" s="412" t="str">
        <f>IF(OR(M56=$AA$12,M56=$AA$13),H56,"")</f>
        <v/>
      </c>
      <c r="L56" s="412" t="str">
        <f t="shared" si="4"/>
        <v/>
      </c>
      <c r="M56" s="357"/>
      <c r="N56" s="358"/>
      <c r="O56" s="287"/>
      <c r="P56" s="288"/>
      <c r="Q56" s="288"/>
      <c r="R56" s="358"/>
      <c r="S56" s="353"/>
      <c r="T56" s="353"/>
      <c r="U56" s="353"/>
      <c r="V56" s="353"/>
      <c r="W56" s="353"/>
      <c r="X56" s="353"/>
      <c r="AA56" s="341"/>
      <c r="AB56" s="341"/>
      <c r="AC56" s="341"/>
      <c r="AD56" s="341"/>
    </row>
    <row r="57" spans="1:36" ht="87" customHeight="1" x14ac:dyDescent="0.3">
      <c r="A57" s="390" t="s">
        <v>334</v>
      </c>
      <c r="B57" s="391">
        <v>36</v>
      </c>
      <c r="C57" s="392"/>
      <c r="D57" s="393">
        <v>2</v>
      </c>
      <c r="E57" s="393">
        <v>2</v>
      </c>
      <c r="F57" s="452"/>
      <c r="G57" s="391">
        <v>4</v>
      </c>
      <c r="H57" s="185"/>
      <c r="I57" s="429"/>
      <c r="J57" s="22"/>
      <c r="K57" s="412" t="str">
        <f>IF(OR(M57=$AA$12,M57=$AA$13),H57,"")</f>
        <v/>
      </c>
      <c r="L57" s="412" t="str">
        <f t="shared" si="4"/>
        <v/>
      </c>
      <c r="M57" s="357"/>
      <c r="N57" s="358"/>
      <c r="O57" s="287"/>
      <c r="P57" s="288"/>
      <c r="Q57" s="288"/>
      <c r="R57" s="358"/>
      <c r="S57" s="353"/>
      <c r="T57" s="353"/>
      <c r="U57" s="353"/>
      <c r="V57" s="353"/>
      <c r="W57" s="353"/>
      <c r="X57" s="353"/>
      <c r="AA57" s="341"/>
      <c r="AB57" s="341"/>
      <c r="AC57" s="341"/>
      <c r="AD57" s="341"/>
    </row>
    <row r="58" spans="1:36" ht="87" customHeight="1" x14ac:dyDescent="0.3">
      <c r="A58" s="390" t="s">
        <v>335</v>
      </c>
      <c r="B58" s="391">
        <v>37</v>
      </c>
      <c r="C58" s="392"/>
      <c r="D58" s="393">
        <v>2</v>
      </c>
      <c r="E58" s="394"/>
      <c r="F58" s="452"/>
      <c r="G58" s="391">
        <v>2</v>
      </c>
      <c r="H58" s="448"/>
      <c r="I58" s="429"/>
      <c r="J58" s="22"/>
      <c r="K58" s="412" t="str">
        <f>IF(OR(M58=$AA$12,M58=$AA$13),H58,"")</f>
        <v/>
      </c>
      <c r="L58" s="412" t="str">
        <f t="shared" si="4"/>
        <v/>
      </c>
      <c r="M58" s="357"/>
      <c r="N58" s="358"/>
      <c r="O58" s="287"/>
      <c r="P58" s="288"/>
      <c r="Q58" s="288"/>
      <c r="R58" s="358"/>
      <c r="S58" s="353"/>
      <c r="T58" s="353"/>
      <c r="U58" s="353"/>
      <c r="V58" s="353"/>
      <c r="W58" s="353"/>
      <c r="X58" s="353"/>
      <c r="AA58" s="341"/>
      <c r="AB58" s="341"/>
      <c r="AC58" s="341"/>
      <c r="AD58" s="341"/>
    </row>
    <row r="59" spans="1:36" ht="87" customHeight="1" x14ac:dyDescent="0.3">
      <c r="A59" s="390" t="s">
        <v>336</v>
      </c>
      <c r="B59" s="391">
        <v>38</v>
      </c>
      <c r="C59" s="392"/>
      <c r="D59" s="393">
        <v>2</v>
      </c>
      <c r="E59" s="394"/>
      <c r="F59" s="452"/>
      <c r="G59" s="391">
        <v>2</v>
      </c>
      <c r="H59" s="185"/>
      <c r="I59" s="429"/>
      <c r="J59" s="22"/>
      <c r="K59" s="412" t="str">
        <f>IF(OR(M59=$AA$12,M59=$AA$13),H59,"")</f>
        <v/>
      </c>
      <c r="L59" s="412" t="str">
        <f t="shared" si="4"/>
        <v/>
      </c>
      <c r="M59" s="357"/>
      <c r="N59" s="358"/>
      <c r="O59" s="287"/>
      <c r="P59" s="288"/>
      <c r="Q59" s="288"/>
      <c r="R59" s="358"/>
      <c r="S59" s="353"/>
      <c r="T59" s="353"/>
      <c r="U59" s="353"/>
      <c r="V59" s="353"/>
      <c r="W59" s="353"/>
      <c r="X59" s="353"/>
      <c r="AA59" s="341"/>
      <c r="AB59" s="341"/>
      <c r="AC59" s="341"/>
      <c r="AD59" s="341"/>
    </row>
    <row r="60" spans="1:36" ht="87" customHeight="1" x14ac:dyDescent="0.3">
      <c r="A60" s="390" t="s">
        <v>337</v>
      </c>
      <c r="B60" s="391">
        <v>39</v>
      </c>
      <c r="C60" s="392"/>
      <c r="D60" s="393">
        <v>2</v>
      </c>
      <c r="E60" s="393">
        <v>2</v>
      </c>
      <c r="F60" s="452"/>
      <c r="G60" s="391">
        <v>4</v>
      </c>
      <c r="H60" s="185"/>
      <c r="I60" s="429"/>
      <c r="J60" s="22"/>
      <c r="K60" s="412" t="str">
        <f>IF(OR(M60=$AA$12,M60=$AA$13),H60,"")</f>
        <v/>
      </c>
      <c r="L60" s="412" t="str">
        <f t="shared" si="4"/>
        <v/>
      </c>
      <c r="M60" s="357"/>
      <c r="N60" s="358"/>
      <c r="O60" s="287"/>
      <c r="P60" s="288"/>
      <c r="Q60" s="288"/>
      <c r="R60" s="358"/>
      <c r="S60" s="353"/>
      <c r="T60" s="353"/>
      <c r="U60" s="353"/>
      <c r="V60" s="353"/>
      <c r="W60" s="353"/>
      <c r="X60" s="353"/>
      <c r="AA60" s="341"/>
      <c r="AB60" s="341"/>
      <c r="AC60" s="341"/>
      <c r="AD60" s="341"/>
    </row>
    <row r="61" spans="1:36" ht="37.25" customHeight="1" x14ac:dyDescent="0.3">
      <c r="A61" s="195" t="s">
        <v>301</v>
      </c>
      <c r="B61" s="196"/>
      <c r="C61" s="196"/>
      <c r="D61" s="196"/>
      <c r="E61" s="195"/>
      <c r="F61" s="451"/>
      <c r="G61" s="427">
        <f>SUM(G56:G60)</f>
        <v>14</v>
      </c>
      <c r="H61" s="428">
        <f>SUM(H56:H60)</f>
        <v>0</v>
      </c>
      <c r="I61" s="429"/>
      <c r="J61" s="22"/>
      <c r="K61" s="413">
        <f>SUM(K56:K60)</f>
        <v>0</v>
      </c>
      <c r="L61" s="413">
        <f>SUM(L56:L60)</f>
        <v>0</v>
      </c>
      <c r="M61" s="382"/>
      <c r="N61" s="182"/>
      <c r="O61" s="356"/>
      <c r="P61" s="182"/>
      <c r="Q61" s="182"/>
      <c r="S61" s="178"/>
      <c r="T61" s="178"/>
      <c r="U61" s="178"/>
      <c r="V61" s="178"/>
      <c r="W61" s="178"/>
      <c r="X61" s="178"/>
      <c r="AE61" s="348"/>
      <c r="AF61" s="349" t="e">
        <f>IF(#REF!=TRUE,0,1)</f>
        <v>#REF!</v>
      </c>
      <c r="AG61" s="350" t="e">
        <f>IF(#REF!=TRUE,1,"-")</f>
        <v>#REF!</v>
      </c>
      <c r="AH61" s="350" t="e">
        <f>IF(#REF!=TRUE,AG61,0)</f>
        <v>#REF!</v>
      </c>
      <c r="AI61" s="350" t="e">
        <f>IF(OR(#REF!=$AA$12,#REF!=$AA$13),AH61,0)</f>
        <v>#REF!</v>
      </c>
      <c r="AJ61" s="351" t="e">
        <f>IF(#REF!=$AA$14,AH61,0)</f>
        <v>#REF!</v>
      </c>
    </row>
    <row r="62" spans="1:36" ht="29.4" customHeight="1" x14ac:dyDescent="0.3">
      <c r="A62" s="406" t="s">
        <v>338</v>
      </c>
      <c r="B62" s="407"/>
      <c r="C62" s="407"/>
      <c r="D62" s="407"/>
      <c r="E62" s="407"/>
      <c r="F62" s="268"/>
      <c r="G62" s="433"/>
      <c r="H62" s="407"/>
      <c r="I62" s="429"/>
      <c r="J62" s="22"/>
      <c r="K62" s="407" t="str">
        <f>IF(OR(M62=$AA$12,M62=$AA$13),H62,"")</f>
        <v/>
      </c>
      <c r="L62" s="407" t="str">
        <f>IF(OR(N62=$AA$12,N62=$AA$13),I62,"")</f>
        <v/>
      </c>
      <c r="M62" s="268" t="str">
        <f t="shared" ref="M62" si="10">IF(OR(O62=$AA$12,O62=$AA$13),J62,"")</f>
        <v/>
      </c>
      <c r="N62" s="268" t="str">
        <f t="shared" ref="N62" si="11">IF(OR(P62=$AA$12,P62=$AA$13),K62,"")</f>
        <v/>
      </c>
      <c r="O62" s="268" t="str">
        <f t="shared" ref="O62" si="12">IF(OR(Q62=$AA$12,Q62=$AA$13),L62,"")</f>
        <v/>
      </c>
      <c r="P62" s="178" t="str">
        <f t="shared" ref="P62" si="13">IF(OR(R62=$AA$12,R62=$AA$13),M62,"")</f>
        <v/>
      </c>
      <c r="Q62" s="178" t="str">
        <f t="shared" ref="Q62" si="14">IF(OR(V62=$AA$12,V62=$AA$13),N62,"")</f>
        <v/>
      </c>
      <c r="R62" s="290" t="str">
        <f t="shared" ref="R62" si="15">IF(OR(W62=$AA$12,W62=$AA$13),O62,"")</f>
        <v/>
      </c>
      <c r="S62" s="290"/>
      <c r="T62" s="290"/>
      <c r="U62" s="290"/>
      <c r="V62" s="290"/>
      <c r="W62" s="290"/>
      <c r="X62" s="290"/>
      <c r="AA62" s="341"/>
      <c r="AB62" s="341"/>
      <c r="AC62" s="341"/>
      <c r="AD62" s="341"/>
    </row>
    <row r="63" spans="1:36" ht="87" customHeight="1" x14ac:dyDescent="0.3">
      <c r="A63" s="390" t="s">
        <v>339</v>
      </c>
      <c r="B63" s="391">
        <v>40</v>
      </c>
      <c r="C63" s="392"/>
      <c r="D63" s="392"/>
      <c r="E63" s="392"/>
      <c r="F63" s="455"/>
      <c r="G63" s="391">
        <v>5</v>
      </c>
      <c r="H63" s="185"/>
      <c r="I63" s="429"/>
      <c r="J63" s="22"/>
      <c r="K63" s="412" t="str">
        <f>IF(OR(M63=$AA$12,M63=$AA$13),H63,"")</f>
        <v/>
      </c>
      <c r="L63" s="412" t="str">
        <f t="shared" si="4"/>
        <v/>
      </c>
      <c r="M63" s="357"/>
      <c r="N63" s="358"/>
      <c r="O63" s="287"/>
      <c r="P63" s="288"/>
      <c r="Q63" s="288"/>
      <c r="R63" s="358"/>
      <c r="S63" s="353"/>
      <c r="T63" s="353"/>
      <c r="U63" s="353"/>
      <c r="V63" s="353"/>
      <c r="W63" s="353"/>
      <c r="X63" s="353"/>
      <c r="AA63" s="341"/>
      <c r="AB63" s="341"/>
      <c r="AC63" s="341"/>
      <c r="AD63" s="341"/>
    </row>
    <row r="64" spans="1:36" ht="87" customHeight="1" x14ac:dyDescent="0.3">
      <c r="A64" s="390" t="s">
        <v>340</v>
      </c>
      <c r="B64" s="391">
        <v>41</v>
      </c>
      <c r="C64" s="392"/>
      <c r="D64" s="392"/>
      <c r="E64" s="392"/>
      <c r="F64" s="455"/>
      <c r="G64" s="391"/>
      <c r="H64" s="185"/>
      <c r="I64" s="429"/>
      <c r="J64" s="22"/>
      <c r="K64" s="412" t="str">
        <f>IF(OR(M64=$AA$12,M64=$AA$13),H64,"")</f>
        <v/>
      </c>
      <c r="L64" s="412"/>
      <c r="M64" s="357"/>
      <c r="N64" s="358"/>
      <c r="O64" s="287"/>
      <c r="P64" s="288"/>
      <c r="Q64" s="288"/>
      <c r="R64" s="358"/>
      <c r="S64" s="353"/>
      <c r="T64" s="353"/>
      <c r="U64" s="353"/>
      <c r="V64" s="353"/>
      <c r="W64" s="353"/>
      <c r="X64" s="353"/>
      <c r="AA64" s="341"/>
      <c r="AB64" s="341"/>
      <c r="AC64" s="341"/>
      <c r="AD64" s="341"/>
    </row>
    <row r="65" spans="1:36" ht="37.25" customHeight="1" x14ac:dyDescent="0.3">
      <c r="A65" s="195" t="s">
        <v>301</v>
      </c>
      <c r="B65" s="196"/>
      <c r="C65" s="196"/>
      <c r="D65" s="196"/>
      <c r="E65" s="195"/>
      <c r="F65" s="195"/>
      <c r="G65" s="427"/>
      <c r="H65" s="428">
        <f>SUM(H63:H64)</f>
        <v>0</v>
      </c>
      <c r="I65" s="429"/>
      <c r="J65" s="22"/>
      <c r="K65" s="413">
        <f>SUM(K63:K64)</f>
        <v>0</v>
      </c>
      <c r="L65" s="413">
        <f>SUM(L63:L64)</f>
        <v>0</v>
      </c>
      <c r="M65" s="382"/>
      <c r="N65" s="182"/>
      <c r="O65" s="356"/>
      <c r="P65" s="182"/>
      <c r="Q65" s="182"/>
      <c r="R65" s="182"/>
      <c r="S65" s="356"/>
      <c r="T65" s="182"/>
      <c r="U65" s="182"/>
      <c r="V65" s="356"/>
      <c r="W65" s="182"/>
      <c r="X65" s="182"/>
      <c r="AE65" s="348"/>
      <c r="AF65" s="349" t="e">
        <f>IF(#REF!=TRUE,0,1)</f>
        <v>#REF!</v>
      </c>
      <c r="AG65" s="350" t="e">
        <f>IF(#REF!=TRUE,1,"-")</f>
        <v>#REF!</v>
      </c>
      <c r="AH65" s="350" t="e">
        <f>IF(#REF!=TRUE,AG65,0)</f>
        <v>#REF!</v>
      </c>
      <c r="AI65" s="350" t="e">
        <f>IF(OR(#REF!=$AA$12,#REF!=$AA$13),AH65,0)</f>
        <v>#REF!</v>
      </c>
      <c r="AJ65" s="351" t="e">
        <f>IF(#REF!=$AA$14,AH65,0)</f>
        <v>#REF!</v>
      </c>
    </row>
    <row r="66" spans="1:36" ht="45" customHeight="1" x14ac:dyDescent="0.3">
      <c r="A66" s="361"/>
      <c r="B66" s="322"/>
      <c r="C66" s="322"/>
      <c r="D66" s="322"/>
      <c r="E66" s="361"/>
      <c r="F66" s="39"/>
      <c r="G66" s="430"/>
      <c r="H66" s="414"/>
      <c r="I66" s="431"/>
      <c r="J66" s="432"/>
      <c r="K66" s="414"/>
      <c r="L66" s="414"/>
      <c r="M66" s="176"/>
      <c r="P66" s="178"/>
      <c r="Q66" s="178"/>
      <c r="T66" s="178"/>
      <c r="U66" s="178"/>
      <c r="W66" s="178"/>
      <c r="X66" s="178"/>
    </row>
    <row r="67" spans="1:36" ht="45" customHeight="1" x14ac:dyDescent="0.3">
      <c r="A67" s="362"/>
      <c r="B67" s="363"/>
      <c r="C67" s="363"/>
      <c r="D67" s="363"/>
      <c r="E67" s="69" t="s">
        <v>341</v>
      </c>
      <c r="F67" s="173"/>
      <c r="G67" s="408" t="s">
        <v>342</v>
      </c>
      <c r="H67" s="8" t="s">
        <v>343</v>
      </c>
      <c r="I67" s="364"/>
      <c r="J67" s="364"/>
      <c r="K67" s="8" t="s">
        <v>344</v>
      </c>
      <c r="L67" s="8" t="s">
        <v>345</v>
      </c>
      <c r="M67" s="176"/>
      <c r="P67" s="178"/>
      <c r="Q67" s="178"/>
      <c r="T67" s="178"/>
      <c r="U67" s="178"/>
      <c r="W67" s="178"/>
      <c r="X67" s="178"/>
    </row>
    <row r="68" spans="1:36" ht="45" customHeight="1" x14ac:dyDescent="0.3">
      <c r="A68" s="365"/>
      <c r="B68" s="322"/>
      <c r="C68" s="322"/>
      <c r="D68" s="322"/>
      <c r="E68" s="17" t="s">
        <v>346</v>
      </c>
      <c r="F68" s="173"/>
      <c r="G68" s="279">
        <f>SUM(G19+G27+G33+G42+G48+G54+G61)</f>
        <v>100</v>
      </c>
      <c r="H68" s="280">
        <f>SUM(H19+H27+H33+H42+H48+H54+H61)</f>
        <v>0</v>
      </c>
      <c r="I68" s="364"/>
      <c r="J68" s="364"/>
      <c r="K68" s="281">
        <f>SUM(K19+K27+K33+K42+K48+K54+K61+K65)</f>
        <v>0</v>
      </c>
      <c r="L68" s="278">
        <f>SUM(L19+L27+L33+L42+L48+L54+L61+L65)</f>
        <v>0</v>
      </c>
      <c r="M68" s="176"/>
      <c r="P68" s="178"/>
      <c r="Q68" s="178"/>
      <c r="T68" s="178"/>
      <c r="U68" s="178"/>
      <c r="W68" s="178"/>
      <c r="X68" s="178"/>
    </row>
    <row r="69" spans="1:36" ht="45" customHeight="1" x14ac:dyDescent="0.3">
      <c r="A69" s="365"/>
      <c r="B69" s="322"/>
      <c r="C69" s="322"/>
      <c r="D69" s="322"/>
      <c r="E69" s="17" t="s">
        <v>347</v>
      </c>
      <c r="F69" s="173"/>
      <c r="G69" s="409"/>
      <c r="H69" s="280">
        <f>H65</f>
        <v>0</v>
      </c>
      <c r="I69" s="366"/>
      <c r="J69" s="366"/>
      <c r="K69" s="364"/>
      <c r="L69" s="364"/>
      <c r="M69" s="176"/>
      <c r="P69" s="178"/>
      <c r="Q69" s="178"/>
      <c r="T69" s="178"/>
      <c r="U69" s="178"/>
      <c r="W69" s="178"/>
      <c r="X69" s="178"/>
    </row>
    <row r="70" spans="1:36" ht="45" customHeight="1" x14ac:dyDescent="0.3">
      <c r="A70" s="367"/>
      <c r="B70" s="325"/>
      <c r="C70" s="325"/>
      <c r="D70" s="325"/>
      <c r="E70" s="17" t="s">
        <v>348</v>
      </c>
      <c r="F70" s="173"/>
      <c r="G70" s="410"/>
      <c r="H70" s="374">
        <f>H68+H69</f>
        <v>0</v>
      </c>
      <c r="I70" s="368"/>
      <c r="J70" s="368"/>
      <c r="K70" s="364"/>
      <c r="L70" s="364"/>
      <c r="M70" s="176"/>
      <c r="P70" s="178"/>
      <c r="Q70" s="178"/>
      <c r="T70" s="178"/>
      <c r="U70" s="178"/>
      <c r="W70" s="178"/>
      <c r="X70" s="178"/>
    </row>
    <row r="71" spans="1:36" ht="14" x14ac:dyDescent="0.3">
      <c r="A71" s="367"/>
      <c r="B71" s="325"/>
      <c r="C71" s="325"/>
      <c r="D71" s="325"/>
      <c r="E71" s="367"/>
      <c r="F71" s="325"/>
      <c r="G71" s="369"/>
      <c r="H71" s="325"/>
      <c r="I71" s="368"/>
      <c r="J71" s="368"/>
      <c r="K71" s="325"/>
      <c r="L71" s="325"/>
      <c r="M71" s="176"/>
      <c r="P71" s="178"/>
      <c r="Q71" s="178"/>
      <c r="T71" s="178"/>
      <c r="U71" s="178"/>
      <c r="W71" s="178"/>
      <c r="X71" s="178"/>
    </row>
    <row r="72" spans="1:36" ht="14" x14ac:dyDescent="0.3">
      <c r="A72" s="367"/>
      <c r="B72" s="325"/>
      <c r="C72" s="325"/>
      <c r="D72" s="325"/>
      <c r="E72" s="367"/>
      <c r="F72" s="325"/>
      <c r="G72" s="369"/>
      <c r="H72" s="325"/>
      <c r="I72" s="368"/>
      <c r="J72" s="368"/>
      <c r="K72" s="325"/>
      <c r="L72" s="325"/>
      <c r="M72" s="176"/>
      <c r="P72" s="178"/>
      <c r="Q72" s="178"/>
      <c r="T72" s="178"/>
      <c r="U72" s="178"/>
      <c r="W72" s="178"/>
      <c r="X72" s="178"/>
      <c r="Y72" s="368"/>
      <c r="Z72" s="368"/>
      <c r="AA72" s="368"/>
      <c r="AB72" s="368"/>
      <c r="AC72" s="368"/>
      <c r="AD72" s="368"/>
      <c r="AE72" s="368"/>
      <c r="AF72" s="368"/>
      <c r="AG72" s="368"/>
      <c r="AH72" s="368"/>
      <c r="AI72" s="368"/>
      <c r="AJ72" s="368"/>
    </row>
    <row r="73" spans="1:36" ht="14" x14ac:dyDescent="0.3">
      <c r="A73" s="367"/>
      <c r="B73" s="325"/>
      <c r="C73" s="325"/>
      <c r="D73" s="325"/>
      <c r="E73" s="367"/>
      <c r="F73" s="325"/>
      <c r="G73" s="369"/>
      <c r="H73" s="325"/>
      <c r="I73" s="368"/>
      <c r="J73" s="368"/>
      <c r="K73" s="325"/>
      <c r="L73" s="325"/>
      <c r="M73" s="176"/>
      <c r="P73" s="178"/>
      <c r="Q73" s="178"/>
      <c r="T73" s="178"/>
      <c r="U73" s="178"/>
      <c r="W73" s="178"/>
      <c r="X73" s="178"/>
      <c r="Y73" s="368"/>
      <c r="Z73" s="368"/>
      <c r="AA73" s="368"/>
      <c r="AB73" s="368"/>
      <c r="AC73" s="368"/>
      <c r="AD73" s="368"/>
      <c r="AE73" s="368"/>
      <c r="AF73" s="368"/>
      <c r="AG73" s="368"/>
      <c r="AH73" s="368"/>
      <c r="AI73" s="368"/>
      <c r="AJ73" s="368"/>
    </row>
    <row r="74" spans="1:36" ht="14" x14ac:dyDescent="0.3">
      <c r="A74" s="367"/>
      <c r="B74" s="325"/>
      <c r="C74" s="325"/>
      <c r="D74" s="325"/>
      <c r="E74" s="367"/>
      <c r="F74" s="325"/>
      <c r="G74" s="369"/>
      <c r="H74" s="325"/>
      <c r="I74" s="368"/>
      <c r="J74" s="368"/>
      <c r="K74" s="325"/>
      <c r="L74" s="325"/>
      <c r="M74" s="176"/>
      <c r="P74" s="178"/>
      <c r="Q74" s="178"/>
      <c r="T74" s="178"/>
      <c r="U74" s="178"/>
      <c r="W74" s="178"/>
      <c r="X74" s="178"/>
      <c r="Y74" s="368"/>
      <c r="Z74" s="368"/>
      <c r="AA74" s="368"/>
      <c r="AB74" s="368"/>
      <c r="AC74" s="368"/>
      <c r="AD74" s="368"/>
      <c r="AE74" s="368"/>
      <c r="AF74" s="368"/>
      <c r="AG74" s="368"/>
      <c r="AH74" s="368"/>
      <c r="AI74" s="368"/>
      <c r="AJ74" s="368"/>
    </row>
    <row r="75" spans="1:36" ht="38.25" hidden="1" customHeight="1" x14ac:dyDescent="0.3">
      <c r="A75" s="367"/>
      <c r="B75" s="325"/>
      <c r="C75" s="325"/>
      <c r="D75" s="325"/>
      <c r="E75" s="367"/>
      <c r="F75" s="325"/>
      <c r="G75" s="369"/>
      <c r="H75" s="325"/>
      <c r="I75" s="368"/>
      <c r="J75" s="368"/>
      <c r="K75" s="325"/>
      <c r="L75" s="325"/>
      <c r="M75" s="243" t="s">
        <v>349</v>
      </c>
      <c r="P75" s="178"/>
      <c r="Q75" s="178"/>
      <c r="T75" s="178"/>
      <c r="U75" s="178"/>
      <c r="W75" s="178"/>
      <c r="X75" s="178"/>
      <c r="Y75" s="368"/>
      <c r="Z75" s="368"/>
      <c r="AA75" s="368"/>
      <c r="AB75" s="368"/>
      <c r="AC75" s="368"/>
      <c r="AD75" s="368"/>
      <c r="AE75" s="368"/>
      <c r="AF75" s="368"/>
      <c r="AG75" s="368"/>
      <c r="AH75" s="368"/>
      <c r="AI75" s="368"/>
      <c r="AJ75" s="368"/>
    </row>
    <row r="76" spans="1:36" ht="38.25" hidden="1" customHeight="1" x14ac:dyDescent="0.3">
      <c r="A76" s="367"/>
      <c r="B76" s="325"/>
      <c r="C76" s="325"/>
      <c r="D76" s="325"/>
      <c r="E76" s="367"/>
      <c r="F76" s="325"/>
      <c r="G76" s="369"/>
      <c r="H76" s="325"/>
      <c r="I76" s="368"/>
      <c r="J76" s="368"/>
      <c r="K76" s="325"/>
      <c r="L76" s="370" t="s">
        <v>288</v>
      </c>
      <c r="M76" s="244">
        <f>COUNTIF(M10:M65,"Not Awarded - Major Non-compliance")</f>
        <v>0</v>
      </c>
      <c r="Y76" s="368"/>
      <c r="Z76" s="368"/>
      <c r="AA76" s="368"/>
      <c r="AB76" s="368"/>
      <c r="AC76" s="368"/>
      <c r="AD76" s="368"/>
      <c r="AE76" s="368"/>
      <c r="AF76" s="368"/>
      <c r="AG76" s="368"/>
      <c r="AH76" s="368"/>
      <c r="AI76" s="368"/>
      <c r="AJ76" s="368"/>
    </row>
    <row r="77" spans="1:36" ht="38.25" hidden="1" customHeight="1" x14ac:dyDescent="0.3">
      <c r="A77" s="367"/>
      <c r="B77" s="325"/>
      <c r="C77" s="325"/>
      <c r="D77" s="325"/>
      <c r="E77" s="367"/>
      <c r="F77" s="325"/>
      <c r="G77" s="369"/>
      <c r="H77" s="325"/>
      <c r="I77" s="368"/>
      <c r="J77" s="368"/>
      <c r="K77" s="325"/>
      <c r="L77" s="370" t="s">
        <v>292</v>
      </c>
      <c r="M77" s="244">
        <f>COUNTIF(M10:M65,"Not Awarded - Major Non-compliance")</f>
        <v>0</v>
      </c>
      <c r="Y77" s="368"/>
      <c r="Z77" s="368"/>
      <c r="AA77" s="368"/>
      <c r="AB77" s="368"/>
      <c r="AC77" s="368"/>
      <c r="AD77" s="368"/>
      <c r="AE77" s="368"/>
      <c r="AF77" s="368"/>
      <c r="AG77" s="368"/>
      <c r="AH77" s="368"/>
      <c r="AI77" s="368"/>
      <c r="AJ77" s="368"/>
    </row>
    <row r="78" spans="1:36" ht="38.25" hidden="1" customHeight="1" x14ac:dyDescent="0.3">
      <c r="A78" s="367"/>
      <c r="B78" s="325"/>
      <c r="C78" s="325"/>
      <c r="D78" s="325"/>
      <c r="E78" s="367"/>
      <c r="F78" s="325"/>
      <c r="G78" s="369"/>
      <c r="H78" s="325"/>
      <c r="I78" s="368"/>
      <c r="J78" s="368"/>
      <c r="K78" s="325"/>
      <c r="L78" s="370" t="s">
        <v>295</v>
      </c>
      <c r="M78" s="244">
        <f>COUNTIF(M10:M65,"Not Awarded - Major Non-compliance")</f>
        <v>0</v>
      </c>
      <c r="Y78" s="368"/>
      <c r="Z78" s="368"/>
      <c r="AA78" s="368"/>
      <c r="AB78" s="368"/>
      <c r="AC78" s="368"/>
      <c r="AD78" s="368"/>
      <c r="AE78" s="368"/>
      <c r="AF78" s="368"/>
      <c r="AG78" s="368"/>
      <c r="AH78" s="368"/>
      <c r="AI78" s="368"/>
      <c r="AJ78" s="368"/>
    </row>
    <row r="79" spans="1:36" ht="38.25" hidden="1" customHeight="1" x14ac:dyDescent="0.3">
      <c r="A79" s="367"/>
      <c r="B79" s="325"/>
      <c r="C79" s="325"/>
      <c r="D79" s="325"/>
      <c r="E79" s="367"/>
      <c r="F79" s="325"/>
      <c r="G79" s="369"/>
      <c r="H79" s="325"/>
      <c r="I79" s="368"/>
      <c r="J79" s="368"/>
      <c r="K79" s="325"/>
      <c r="L79" s="371" t="s">
        <v>350</v>
      </c>
      <c r="M79" s="244">
        <f>COUNTIF(M10:M65,"Not Awarded - Major Non-compliance")</f>
        <v>0</v>
      </c>
      <c r="Y79" s="368"/>
      <c r="Z79" s="368"/>
      <c r="AA79" s="368"/>
      <c r="AB79" s="368"/>
      <c r="AC79" s="368"/>
      <c r="AD79" s="368"/>
      <c r="AE79" s="368"/>
      <c r="AF79" s="368"/>
      <c r="AG79" s="368"/>
      <c r="AH79" s="368"/>
      <c r="AI79" s="368"/>
      <c r="AJ79" s="368"/>
    </row>
    <row r="80" spans="1:36" ht="38.25" hidden="1" customHeight="1" x14ac:dyDescent="0.3">
      <c r="A80" s="367"/>
      <c r="B80" s="325"/>
      <c r="C80" s="325"/>
      <c r="D80" s="325"/>
      <c r="E80" s="367"/>
      <c r="F80" s="325"/>
      <c r="G80" s="369"/>
      <c r="H80" s="325"/>
      <c r="I80" s="368"/>
      <c r="J80" s="368"/>
      <c r="K80" s="325"/>
      <c r="L80" s="325"/>
      <c r="M80" s="245">
        <f>COUNTIF(M10:M65,"Awarded - Compliant")+COUNTIF(M10:M65,"Awarded - Minor non-Compliance")+COUNTIF(M10:M65,"Not Awarded - Major non-compliance")</f>
        <v>0</v>
      </c>
      <c r="Y80" s="368"/>
      <c r="Z80" s="368"/>
      <c r="AA80" s="368"/>
      <c r="AB80" s="368"/>
      <c r="AC80" s="368"/>
      <c r="AD80" s="368"/>
      <c r="AE80" s="368"/>
      <c r="AF80" s="368"/>
      <c r="AG80" s="368"/>
      <c r="AH80" s="368"/>
      <c r="AI80" s="368"/>
      <c r="AJ80" s="368"/>
    </row>
    <row r="81" spans="1:36" ht="14" x14ac:dyDescent="0.3">
      <c r="A81" s="367"/>
      <c r="B81" s="325"/>
      <c r="C81" s="325"/>
      <c r="D81" s="325"/>
      <c r="E81" s="367"/>
      <c r="F81" s="325"/>
      <c r="G81" s="369"/>
      <c r="H81" s="325"/>
      <c r="I81" s="368"/>
      <c r="J81" s="368"/>
      <c r="K81" s="325"/>
      <c r="L81" s="325"/>
      <c r="M81" s="177"/>
      <c r="Y81" s="368"/>
      <c r="Z81" s="368"/>
      <c r="AA81" s="368"/>
      <c r="AB81" s="368"/>
      <c r="AC81" s="368"/>
      <c r="AD81" s="368"/>
      <c r="AE81" s="368"/>
      <c r="AF81" s="368"/>
      <c r="AG81" s="368"/>
      <c r="AH81" s="368"/>
      <c r="AI81" s="368"/>
      <c r="AJ81" s="368"/>
    </row>
    <row r="82" spans="1:36" ht="14" x14ac:dyDescent="0.3">
      <c r="A82" s="367"/>
      <c r="B82" s="325"/>
      <c r="C82" s="325"/>
      <c r="D82" s="325"/>
      <c r="E82" s="367"/>
      <c r="F82" s="325"/>
      <c r="G82" s="369"/>
      <c r="H82" s="325"/>
      <c r="I82" s="368"/>
      <c r="J82" s="368"/>
      <c r="K82" s="325"/>
      <c r="L82" s="325"/>
      <c r="M82" s="176"/>
      <c r="Y82" s="368"/>
      <c r="Z82" s="368"/>
      <c r="AA82" s="368"/>
      <c r="AB82" s="368"/>
      <c r="AC82" s="368"/>
      <c r="AD82" s="368"/>
      <c r="AE82" s="368"/>
      <c r="AF82" s="368"/>
      <c r="AG82" s="368"/>
      <c r="AH82" s="368"/>
      <c r="AI82" s="368"/>
      <c r="AJ82" s="368"/>
    </row>
    <row r="83" spans="1:36" ht="14" x14ac:dyDescent="0.3">
      <c r="A83" s="367"/>
      <c r="B83" s="325"/>
      <c r="C83" s="325"/>
      <c r="D83" s="325"/>
      <c r="E83" s="367"/>
      <c r="F83" s="325"/>
      <c r="G83" s="369"/>
      <c r="H83" s="325"/>
      <c r="I83" s="368"/>
      <c r="J83" s="368"/>
      <c r="K83" s="325"/>
      <c r="L83" s="325"/>
      <c r="M83" s="176"/>
      <c r="Y83" s="368"/>
      <c r="Z83" s="368"/>
      <c r="AA83" s="368"/>
      <c r="AB83" s="368"/>
      <c r="AC83" s="368"/>
      <c r="AD83" s="368"/>
      <c r="AE83" s="368"/>
      <c r="AF83" s="368"/>
      <c r="AG83" s="368"/>
      <c r="AH83" s="368"/>
      <c r="AI83" s="368"/>
      <c r="AJ83" s="368"/>
    </row>
    <row r="84" spans="1:36" ht="14" x14ac:dyDescent="0.3">
      <c r="A84" s="367"/>
      <c r="B84" s="325"/>
      <c r="C84" s="325"/>
      <c r="D84" s="325"/>
      <c r="E84" s="367"/>
      <c r="F84" s="325"/>
      <c r="G84" s="369"/>
      <c r="H84" s="325"/>
      <c r="I84" s="368"/>
      <c r="J84" s="368"/>
      <c r="K84" s="325"/>
      <c r="L84" s="325"/>
      <c r="M84" s="176"/>
      <c r="Y84" s="368"/>
      <c r="Z84" s="368"/>
      <c r="AA84" s="368"/>
      <c r="AB84" s="368"/>
      <c r="AC84" s="368"/>
      <c r="AD84" s="368"/>
      <c r="AE84" s="368"/>
      <c r="AF84" s="368"/>
      <c r="AG84" s="368"/>
      <c r="AH84" s="368"/>
      <c r="AI84" s="368"/>
      <c r="AJ84" s="368"/>
    </row>
    <row r="85" spans="1:36" ht="14" x14ac:dyDescent="0.3">
      <c r="A85" s="367"/>
      <c r="B85" s="325"/>
      <c r="C85" s="325"/>
      <c r="D85" s="325"/>
      <c r="E85" s="367"/>
      <c r="F85" s="325"/>
      <c r="G85" s="369"/>
      <c r="H85" s="325"/>
      <c r="I85" s="368"/>
      <c r="J85" s="368"/>
      <c r="K85" s="325"/>
      <c r="L85" s="325"/>
      <c r="M85" s="176"/>
      <c r="Y85" s="368"/>
      <c r="Z85" s="368"/>
      <c r="AA85" s="368"/>
      <c r="AB85" s="368"/>
      <c r="AC85" s="368"/>
      <c r="AD85" s="368"/>
      <c r="AE85" s="368"/>
      <c r="AF85" s="368"/>
      <c r="AG85" s="368"/>
      <c r="AH85" s="368"/>
      <c r="AI85" s="368"/>
      <c r="AJ85" s="368"/>
    </row>
    <row r="86" spans="1:36" ht="14" x14ac:dyDescent="0.3">
      <c r="A86" s="367"/>
      <c r="B86" s="325"/>
      <c r="C86" s="325"/>
      <c r="D86" s="325"/>
      <c r="E86" s="367"/>
      <c r="F86" s="325"/>
      <c r="G86" s="369"/>
      <c r="H86" s="325"/>
      <c r="I86" s="368"/>
      <c r="J86" s="368"/>
      <c r="K86" s="325"/>
      <c r="L86" s="325"/>
      <c r="M86" s="176"/>
      <c r="Y86" s="368"/>
      <c r="Z86" s="368"/>
      <c r="AA86" s="368"/>
      <c r="AB86" s="368"/>
      <c r="AC86" s="368"/>
      <c r="AD86" s="368"/>
      <c r="AE86" s="368"/>
      <c r="AF86" s="368"/>
      <c r="AG86" s="368"/>
      <c r="AH86" s="368"/>
      <c r="AI86" s="368"/>
      <c r="AJ86" s="368"/>
    </row>
    <row r="87" spans="1:36" ht="14" x14ac:dyDescent="0.3">
      <c r="A87" s="367"/>
      <c r="B87" s="325"/>
      <c r="C87" s="325"/>
      <c r="D87" s="325"/>
      <c r="E87" s="367"/>
      <c r="F87" s="325"/>
      <c r="G87" s="369"/>
      <c r="H87" s="325"/>
      <c r="I87" s="368"/>
      <c r="J87" s="368"/>
      <c r="K87" s="325"/>
      <c r="L87" s="325"/>
      <c r="M87" s="176"/>
      <c r="Y87" s="368"/>
      <c r="Z87" s="368"/>
      <c r="AA87" s="368"/>
      <c r="AB87" s="368"/>
      <c r="AC87" s="368"/>
      <c r="AD87" s="368"/>
      <c r="AE87" s="368"/>
      <c r="AF87" s="368"/>
      <c r="AG87" s="368"/>
      <c r="AH87" s="368"/>
      <c r="AI87" s="368"/>
      <c r="AJ87" s="368"/>
    </row>
    <row r="88" spans="1:36" ht="14" x14ac:dyDescent="0.3">
      <c r="A88" s="367"/>
      <c r="B88" s="325"/>
      <c r="C88" s="325"/>
      <c r="D88" s="325"/>
      <c r="E88" s="367"/>
      <c r="F88" s="325"/>
      <c r="G88" s="369"/>
      <c r="H88" s="325"/>
      <c r="I88" s="368"/>
      <c r="J88" s="368"/>
      <c r="K88" s="325"/>
      <c r="L88" s="325"/>
      <c r="M88" s="176"/>
      <c r="Y88" s="368"/>
      <c r="Z88" s="368"/>
      <c r="AA88" s="368"/>
      <c r="AB88" s="368"/>
      <c r="AC88" s="368"/>
      <c r="AD88" s="368"/>
      <c r="AE88" s="368"/>
      <c r="AF88" s="368"/>
      <c r="AG88" s="368"/>
      <c r="AH88" s="368"/>
      <c r="AI88" s="368"/>
      <c r="AJ88" s="368"/>
    </row>
    <row r="89" spans="1:36" ht="14" x14ac:dyDescent="0.3">
      <c r="A89" s="367"/>
      <c r="B89" s="325"/>
      <c r="C89" s="325"/>
      <c r="D89" s="325"/>
      <c r="E89" s="367"/>
      <c r="F89" s="325"/>
      <c r="G89" s="369"/>
      <c r="H89" s="325"/>
      <c r="I89" s="368"/>
      <c r="J89" s="368"/>
      <c r="K89" s="325"/>
      <c r="L89" s="325"/>
      <c r="M89" s="176"/>
      <c r="Y89" s="368"/>
      <c r="Z89" s="368"/>
      <c r="AA89" s="368"/>
      <c r="AB89" s="368"/>
      <c r="AC89" s="368"/>
      <c r="AD89" s="368"/>
      <c r="AE89" s="368"/>
      <c r="AF89" s="368"/>
      <c r="AG89" s="368"/>
      <c r="AH89" s="368"/>
      <c r="AI89" s="368"/>
      <c r="AJ89" s="368"/>
    </row>
    <row r="90" spans="1:36" ht="14" x14ac:dyDescent="0.3">
      <c r="A90" s="367"/>
      <c r="B90" s="325"/>
      <c r="C90" s="325"/>
      <c r="D90" s="325"/>
      <c r="E90" s="367"/>
      <c r="F90" s="325"/>
      <c r="G90" s="369"/>
      <c r="H90" s="325"/>
      <c r="I90" s="368"/>
      <c r="J90" s="368"/>
      <c r="K90" s="325"/>
      <c r="L90" s="325"/>
      <c r="M90" s="176"/>
      <c r="Y90" s="368"/>
      <c r="Z90" s="368"/>
      <c r="AA90" s="368"/>
      <c r="AB90" s="368"/>
      <c r="AC90" s="368"/>
      <c r="AD90" s="368"/>
      <c r="AE90" s="368"/>
      <c r="AF90" s="368"/>
      <c r="AG90" s="368"/>
      <c r="AH90" s="368"/>
      <c r="AI90" s="368"/>
      <c r="AJ90" s="368"/>
    </row>
    <row r="91" spans="1:36" ht="14" x14ac:dyDescent="0.3">
      <c r="A91" s="367"/>
      <c r="B91" s="325"/>
      <c r="C91" s="325"/>
      <c r="D91" s="325"/>
      <c r="E91" s="367"/>
      <c r="F91" s="325"/>
      <c r="G91" s="369"/>
      <c r="H91" s="325"/>
      <c r="I91" s="368"/>
      <c r="J91" s="368"/>
      <c r="K91" s="325"/>
      <c r="L91" s="325"/>
      <c r="M91" s="176"/>
      <c r="Y91" s="368"/>
      <c r="Z91" s="368"/>
      <c r="AA91" s="368"/>
      <c r="AB91" s="368"/>
      <c r="AC91" s="368"/>
      <c r="AD91" s="368"/>
      <c r="AE91" s="368"/>
      <c r="AF91" s="368"/>
      <c r="AG91" s="368"/>
      <c r="AH91" s="368"/>
      <c r="AI91" s="368"/>
      <c r="AJ91" s="368"/>
    </row>
    <row r="92" spans="1:36" ht="14" x14ac:dyDescent="0.3">
      <c r="A92" s="367"/>
      <c r="B92" s="325"/>
      <c r="C92" s="325"/>
      <c r="D92" s="325"/>
      <c r="E92" s="367"/>
      <c r="F92" s="325"/>
      <c r="G92" s="369"/>
      <c r="H92" s="325"/>
      <c r="I92" s="368"/>
      <c r="J92" s="368"/>
      <c r="K92" s="325"/>
      <c r="L92" s="325"/>
      <c r="M92" s="176"/>
      <c r="Y92" s="368"/>
      <c r="Z92" s="368"/>
      <c r="AA92" s="368"/>
      <c r="AB92" s="368"/>
      <c r="AC92" s="368"/>
      <c r="AD92" s="368"/>
      <c r="AE92" s="368"/>
      <c r="AF92" s="368"/>
      <c r="AG92" s="368"/>
      <c r="AH92" s="368"/>
      <c r="AI92" s="368"/>
      <c r="AJ92" s="368"/>
    </row>
    <row r="93" spans="1:36" ht="14" x14ac:dyDescent="0.3">
      <c r="A93" s="367"/>
      <c r="B93" s="325"/>
      <c r="C93" s="325"/>
      <c r="D93" s="325"/>
      <c r="E93" s="367"/>
      <c r="F93" s="325"/>
      <c r="G93" s="369"/>
      <c r="H93" s="325"/>
      <c r="I93" s="368"/>
      <c r="J93" s="368"/>
      <c r="K93" s="325"/>
      <c r="L93" s="325"/>
      <c r="M93" s="176"/>
      <c r="Y93" s="368"/>
      <c r="Z93" s="368"/>
      <c r="AA93" s="368"/>
      <c r="AB93" s="368"/>
      <c r="AC93" s="368"/>
      <c r="AD93" s="368"/>
      <c r="AE93" s="368"/>
      <c r="AF93" s="368"/>
      <c r="AG93" s="368"/>
      <c r="AH93" s="368"/>
      <c r="AI93" s="368"/>
      <c r="AJ93" s="368"/>
    </row>
    <row r="94" spans="1:36" ht="14" x14ac:dyDescent="0.3">
      <c r="A94" s="367"/>
      <c r="B94" s="325"/>
      <c r="C94" s="325"/>
      <c r="D94" s="325"/>
      <c r="E94" s="367"/>
      <c r="F94" s="325"/>
      <c r="G94" s="369"/>
      <c r="H94" s="325"/>
      <c r="I94" s="368"/>
      <c r="J94" s="368"/>
      <c r="K94" s="325"/>
      <c r="L94" s="325"/>
      <c r="M94" s="176"/>
      <c r="Y94" s="368"/>
      <c r="Z94" s="368"/>
      <c r="AA94" s="368"/>
      <c r="AB94" s="368"/>
      <c r="AC94" s="368"/>
      <c r="AD94" s="368"/>
      <c r="AE94" s="368"/>
      <c r="AF94" s="368"/>
      <c r="AG94" s="368"/>
      <c r="AH94" s="368"/>
      <c r="AI94" s="368"/>
      <c r="AJ94" s="368"/>
    </row>
    <row r="95" spans="1:36" ht="14" x14ac:dyDescent="0.3">
      <c r="A95" s="367"/>
      <c r="B95" s="325"/>
      <c r="C95" s="325"/>
      <c r="D95" s="325"/>
      <c r="E95" s="367"/>
      <c r="F95" s="325"/>
      <c r="G95" s="369"/>
      <c r="H95" s="325"/>
      <c r="I95" s="368"/>
      <c r="J95" s="368"/>
      <c r="K95" s="325"/>
      <c r="L95" s="325"/>
      <c r="M95" s="176"/>
      <c r="Y95" s="368"/>
      <c r="Z95" s="368"/>
      <c r="AA95" s="368"/>
      <c r="AB95" s="368"/>
      <c r="AC95" s="368"/>
      <c r="AD95" s="368"/>
      <c r="AE95" s="368"/>
      <c r="AF95" s="368"/>
      <c r="AG95" s="368"/>
      <c r="AH95" s="368"/>
      <c r="AI95" s="368"/>
      <c r="AJ95" s="368"/>
    </row>
    <row r="96" spans="1:36" ht="14" x14ac:dyDescent="0.3">
      <c r="A96" s="367"/>
      <c r="B96" s="325"/>
      <c r="C96" s="325"/>
      <c r="D96" s="325"/>
      <c r="E96" s="367"/>
      <c r="F96" s="325"/>
      <c r="G96" s="369"/>
      <c r="H96" s="325"/>
      <c r="I96" s="368"/>
      <c r="J96" s="368"/>
      <c r="K96" s="325"/>
      <c r="L96" s="325"/>
      <c r="M96" s="176"/>
      <c r="Y96" s="368"/>
      <c r="Z96" s="368"/>
      <c r="AA96" s="368"/>
      <c r="AB96" s="368"/>
      <c r="AC96" s="368"/>
      <c r="AD96" s="368"/>
      <c r="AE96" s="368"/>
      <c r="AF96" s="368"/>
      <c r="AG96" s="368"/>
      <c r="AH96" s="368"/>
      <c r="AI96" s="368"/>
      <c r="AJ96" s="368"/>
    </row>
    <row r="97" spans="1:36" ht="14" x14ac:dyDescent="0.3">
      <c r="A97" s="367"/>
      <c r="B97" s="325"/>
      <c r="C97" s="325"/>
      <c r="D97" s="325"/>
      <c r="E97" s="367"/>
      <c r="F97" s="325"/>
      <c r="G97" s="369"/>
      <c r="H97" s="325"/>
      <c r="I97" s="368"/>
      <c r="J97" s="368"/>
      <c r="K97" s="325"/>
      <c r="L97" s="325"/>
      <c r="M97" s="176"/>
      <c r="Y97" s="368"/>
      <c r="Z97" s="368"/>
      <c r="AA97" s="368"/>
      <c r="AB97" s="368"/>
      <c r="AC97" s="368"/>
      <c r="AD97" s="368"/>
      <c r="AE97" s="368"/>
      <c r="AF97" s="368"/>
      <c r="AG97" s="368"/>
      <c r="AH97" s="368"/>
      <c r="AI97" s="368"/>
      <c r="AJ97" s="368"/>
    </row>
    <row r="98" spans="1:36" ht="14" x14ac:dyDescent="0.3">
      <c r="A98" s="367"/>
      <c r="B98" s="325"/>
      <c r="C98" s="325"/>
      <c r="D98" s="325"/>
      <c r="E98" s="367"/>
      <c r="F98" s="325"/>
      <c r="G98" s="369"/>
      <c r="H98" s="325"/>
      <c r="I98" s="368"/>
      <c r="J98" s="368"/>
      <c r="K98" s="325"/>
      <c r="L98" s="325"/>
      <c r="M98" s="176"/>
      <c r="Y98" s="368"/>
      <c r="Z98" s="368"/>
      <c r="AA98" s="368"/>
      <c r="AB98" s="368"/>
      <c r="AC98" s="368"/>
      <c r="AD98" s="368"/>
      <c r="AE98" s="368"/>
      <c r="AF98" s="368"/>
      <c r="AG98" s="368"/>
      <c r="AH98" s="368"/>
      <c r="AI98" s="368"/>
      <c r="AJ98" s="368"/>
    </row>
    <row r="99" spans="1:36" ht="14" x14ac:dyDescent="0.3">
      <c r="A99" s="367"/>
      <c r="B99" s="325"/>
      <c r="C99" s="325"/>
      <c r="D99" s="325"/>
      <c r="E99" s="367"/>
      <c r="F99" s="325"/>
      <c r="G99" s="369"/>
      <c r="H99" s="325"/>
      <c r="I99" s="368"/>
      <c r="J99" s="368"/>
      <c r="K99" s="325"/>
      <c r="L99" s="325"/>
      <c r="M99" s="176"/>
      <c r="Y99" s="368"/>
      <c r="Z99" s="368"/>
      <c r="AA99" s="368"/>
      <c r="AB99" s="368"/>
      <c r="AC99" s="368"/>
      <c r="AD99" s="368"/>
      <c r="AE99" s="368"/>
      <c r="AF99" s="368"/>
      <c r="AG99" s="368"/>
      <c r="AH99" s="368"/>
      <c r="AI99" s="368"/>
      <c r="AJ99" s="368"/>
    </row>
  </sheetData>
  <sheetProtection algorithmName="SHA-512" hashValue="MxyNJbEn/HU5MhaCkS22hnNLEfD6tD+IiRIR4gC//B8xCFZ/Y1fR/YCX/gOdy6OMyEM4zWil+a2ighVBaG4XeA==" saltValue="TJClf4QmoJuLdEKKdfKLPw==" spinCount="100000" sheet="1" objects="1" scenarios="1" selectLockedCells="1"/>
  <protectedRanges>
    <protectedRange algorithmName="SHA-512" hashValue="GJcF1FTA3lyQFjiMnNi4yPE9ftHJfVSjSOOnPAdtdvVdMsPZSWqGWoGY4ao+gcaW4Rlrv39LvcX+qSFp9v2Viw==" saltValue="zpzmlx3l6uqXPmbY1ySQrg==" spinCount="100000" sqref="F10:F64" name="TPL"/>
    <protectedRange algorithmName="SHA-512" hashValue="avSibpTe+SoxJF5djmLIvQbtMdDQwzxxN5NgJhqNGrdRLMmgTdQTIpUyHsyhTm91eLWQMGv93KwsDgmY8cHbOg==" saltValue="wJySt+G+ykYCwIDUqUGgsQ==" spinCount="100000" sqref="H10:H64" name="PT"/>
    <protectedRange algorithmName="SHA-512" hashValue="JRDHCS8LzHcZt5R2LIqh5ua3hJcRI0aWhv5+Zo+nUEFb3Na3drVIcotjiF2DspXO1CQl3cYtkrwNmX9Byd8qew==" saltValue="8Uc/LjJ0eDMDo4ziHFw6/A==" spinCount="100000" sqref="M10:X64" name="RHS"/>
  </protectedRanges>
  <mergeCells count="19">
    <mergeCell ref="O6:Q6"/>
    <mergeCell ref="A1:E1"/>
    <mergeCell ref="N1:Q1"/>
    <mergeCell ref="R1:X1"/>
    <mergeCell ref="O2:Q2"/>
    <mergeCell ref="V2:X2"/>
    <mergeCell ref="B2:C2"/>
    <mergeCell ref="S2:U2"/>
    <mergeCell ref="S3:U3"/>
    <mergeCell ref="S4:U4"/>
    <mergeCell ref="S5:U5"/>
    <mergeCell ref="B3:C3"/>
    <mergeCell ref="B4:C4"/>
    <mergeCell ref="B5:C5"/>
    <mergeCell ref="V5:X5"/>
    <mergeCell ref="O3:Q3"/>
    <mergeCell ref="V3:X3"/>
    <mergeCell ref="O4:Q4"/>
    <mergeCell ref="V4:X4"/>
  </mergeCells>
  <conditionalFormatting sqref="B4:C4">
    <cfRule type="cellIs" dxfId="91" priority="1" operator="equal">
      <formula>"16 out of 16"</formula>
    </cfRule>
  </conditionalFormatting>
  <conditionalFormatting sqref="D35:E39">
    <cfRule type="expression" dxfId="90" priority="2">
      <formula>VLOOKUP(D$14,REF_PerformanceLevelValues,2,FALSE)&lt;=INDEX($H35:$V35,1,MATCH(CAL_TargetedRating&amp;" "&amp;IN_RegisteringFrom,$H$47:$V$47,0))</formula>
    </cfRule>
    <cfRule type="expression" dxfId="89" priority="3">
      <formula>VLOOKUP(D$14,REF_PerformanceLevelValues,2,FALSE)&lt;=INDEX($H35:$V35,1,MATCH(IN_DesiredRating&amp;" "&amp;IN_RegisteringFrom,$H$47:$V$47,0))</formula>
    </cfRule>
  </conditionalFormatting>
  <dataValidations count="9">
    <dataValidation type="decimal" allowBlank="1" showInputMessage="1" showErrorMessage="1" sqref="H63:H64 H15:H18 H21:H26 H29:H32 H35:H41 H44:H47 H50:H53 H56:H60 H10:H12" xr:uid="{4C8B6327-3007-4C76-9117-D3258274AADB}">
      <formula1>0</formula1>
      <formula2>G10</formula2>
    </dataValidation>
    <dataValidation type="list" allowBlank="1" showInputMessage="1" showErrorMessage="1" sqref="H13" xr:uid="{CE73904B-7895-41CC-B8A0-27B03F900ED7}">
      <formula1>$AB$11:$AB$12</formula1>
    </dataValidation>
    <dataValidation type="list" allowBlank="1" showInputMessage="1" showErrorMessage="1" sqref="M10:M18 M44:M47 M56:M60 M50:M53 M35:M41 M29:M32 M21:M26 M63:M64" xr:uid="{F9B72B7E-E61C-495B-BD94-8BA95CE0F126}">
      <formula1>$AA$12:$AA$14</formula1>
    </dataValidation>
    <dataValidation type="list" allowBlank="1" showInputMessage="1" showErrorMessage="1" sqref="O10:O18 S10:S18 S21:S26 S29:S32 S62:S64 S35:S41 S44:S47 S50:S53 S56:S60 V10:V18 O21:O26 V21:V26 O29:O32 V29:V32 V62:V64 V35:V41 O35:O41 V44:V47 O50:O53 V50:V53 V56:V60 O56:O60 O44:O47 O63:O64" xr:uid="{8AE08C4B-7829-44AA-BAC3-E7EE72FB8A1A}">
      <formula1>$Y$18:$Y$18</formula1>
    </dataValidation>
    <dataValidation type="list" allowBlank="1" showInputMessage="1" showErrorMessage="1" sqref="F11:F12 F21 F23:F24 F29 F44 F50 F56" xr:uid="{1F98817D-8A58-4BEA-942E-1A0E2E60FD72}">
      <formula1>$C$7:$D$7</formula1>
    </dataValidation>
    <dataValidation type="list" allowBlank="1" showInputMessage="1" showErrorMessage="1" sqref="F10 F14 F30:F32 F45:F47 F58:F59" xr:uid="{B538786F-D526-4E2D-927E-3AAC46B38E89}">
      <formula1>$D$7</formula1>
    </dataValidation>
    <dataValidation type="list" allowBlank="1" showInputMessage="1" showErrorMessage="1" sqref="F13" xr:uid="{BEA373B2-AC90-428D-A10B-592FAFDEDF49}">
      <formula1>$C$7</formula1>
    </dataValidation>
    <dataValidation type="list" allowBlank="1" showInputMessage="1" showErrorMessage="1" sqref="F15:F20 F26 F35 F39 F41 F51:F53 F57 F60" xr:uid="{F739266C-7EDA-47E8-A18D-8211FED0CB24}">
      <formula1>$D$7:$E$7</formula1>
    </dataValidation>
    <dataValidation type="list" allowBlank="1" showInputMessage="1" showErrorMessage="1" sqref="F22 F25 F36:F38 F40" xr:uid="{08430465-394A-43FE-AB83-1AD866F5724F}">
      <formula1>$C$7:$E$7</formula1>
    </dataValidation>
  </dataValidations>
  <pageMargins left="0.70866141732283472" right="0.70866141732283472" top="0.74803149606299213" bottom="0.74803149606299213" header="0.31496062992125984" footer="0.31496062992125984"/>
  <pageSetup paperSize="9" scale="51" fitToHeight="0" orientation="portrait" horizontalDpi="1200" verticalDpi="1200" r:id="rId1"/>
  <headerFooter>
    <oddHeader>&amp;L&amp;"Calibri"&amp;8&amp;K000000 Sensitivity: General&amp;1#_x000D_</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D8FDB-4128-4065-9AE7-7485788ED7FB}">
  <sheetPr>
    <pageSetUpPr fitToPage="1"/>
  </sheetPr>
  <dimension ref="A1:AK99"/>
  <sheetViews>
    <sheetView showGridLines="0" showRowColHeaders="0" zoomScale="70" zoomScaleNormal="70" workbookViewId="0">
      <pane ySplit="7" topLeftCell="A8" activePane="bottomLeft" state="frozen"/>
      <selection activeCell="D1" sqref="D1"/>
      <selection pane="bottomLeft" activeCell="E3" sqref="E3"/>
    </sheetView>
  </sheetViews>
  <sheetFormatPr defaultColWidth="9" defaultRowHeight="14.25" customHeight="1" x14ac:dyDescent="0.3"/>
  <cols>
    <col min="1" max="1" width="52.08203125" style="89" customWidth="1"/>
    <col min="2" max="2" width="16.58203125" style="372" customWidth="1"/>
    <col min="3" max="4" width="25.58203125" style="372" customWidth="1"/>
    <col min="5" max="5" width="23.58203125" style="89" customWidth="1"/>
    <col min="6" max="6" width="39.9140625" style="372" customWidth="1"/>
    <col min="7" max="7" width="17.6640625" style="373" customWidth="1"/>
    <col min="8" max="8" width="19.9140625" style="372" customWidth="1"/>
    <col min="9" max="10" width="14" style="87" customWidth="1"/>
    <col min="11" max="11" width="29.1640625" style="372" customWidth="1"/>
    <col min="12" max="12" width="14" style="372" customWidth="1"/>
    <col min="13" max="13" width="17" style="106" customWidth="1"/>
    <col min="14" max="14" width="57.1640625" style="178" customWidth="1"/>
    <col min="15" max="15" width="18.1640625" style="345" hidden="1" customWidth="1"/>
    <col min="16" max="17" width="57.1640625" style="179" hidden="1" customWidth="1"/>
    <col min="18" max="18" width="57.1640625" style="178" customWidth="1"/>
    <col min="19" max="19" width="14.6640625" style="345" customWidth="1"/>
    <col min="20" max="20" width="91.1640625" style="179" customWidth="1"/>
    <col min="21" max="21" width="76.58203125" style="179" customWidth="1"/>
    <col min="22" max="22" width="14.6640625" style="345" customWidth="1"/>
    <col min="23" max="23" width="91.1640625" style="179" customWidth="1"/>
    <col min="24" max="24" width="76.58203125" style="179" customWidth="1"/>
    <col min="25" max="25" width="31.1640625" style="87" hidden="1" customWidth="1"/>
    <col min="26" max="26" width="9" style="87" hidden="1" customWidth="1"/>
    <col min="27" max="28" width="15.6640625" style="87" hidden="1" customWidth="1"/>
    <col min="29" max="29" width="9" style="87" hidden="1" customWidth="1"/>
    <col min="30" max="30" width="24.5" style="87" hidden="1" customWidth="1"/>
    <col min="31" max="31" width="14" style="87" hidden="1" customWidth="1"/>
    <col min="32" max="32" width="10.58203125" style="87" hidden="1" customWidth="1"/>
    <col min="33" max="34" width="12" style="87" hidden="1" customWidth="1"/>
    <col min="35" max="36" width="10.6640625" style="87" hidden="1" customWidth="1"/>
    <col min="37" max="37" width="9" style="87" hidden="1" customWidth="1"/>
    <col min="38" max="40" width="9" style="87" customWidth="1"/>
    <col min="41" max="16384" width="9" style="87"/>
  </cols>
  <sheetData>
    <row r="1" spans="1:34" ht="68" customHeight="1" x14ac:dyDescent="1.3">
      <c r="A1" s="457" t="s">
        <v>252</v>
      </c>
      <c r="B1" s="458"/>
      <c r="C1" s="458"/>
      <c r="D1" s="458"/>
      <c r="E1" s="458"/>
      <c r="F1" s="322"/>
      <c r="G1" s="323"/>
      <c r="H1" s="322"/>
      <c r="I1" s="324"/>
      <c r="J1" s="324"/>
      <c r="K1" s="325"/>
      <c r="L1" s="325"/>
      <c r="M1" s="102"/>
      <c r="N1" s="459"/>
      <c r="O1" s="459"/>
      <c r="P1" s="459"/>
      <c r="Q1" s="459"/>
      <c r="R1" s="460"/>
      <c r="S1" s="461"/>
      <c r="T1" s="461"/>
      <c r="U1" s="461"/>
      <c r="V1" s="461"/>
      <c r="W1" s="461"/>
      <c r="X1" s="462"/>
      <c r="Y1" s="87" t="s">
        <v>47</v>
      </c>
      <c r="Z1" s="87" t="s">
        <v>47</v>
      </c>
      <c r="AA1" s="87" t="s">
        <v>47</v>
      </c>
      <c r="AB1" s="87" t="s">
        <v>47</v>
      </c>
    </row>
    <row r="2" spans="1:34" ht="54" customHeight="1" x14ac:dyDescent="0.3">
      <c r="A2" s="383" t="s">
        <v>253</v>
      </c>
      <c r="B2" s="463" t="str">
        <f>IF('Design Review Scorecard'!B2="","",'Design Review Scorecard'!B2)</f>
        <v/>
      </c>
      <c r="C2" s="464"/>
      <c r="D2" s="269"/>
      <c r="E2" s="326"/>
      <c r="F2" s="327"/>
      <c r="G2" s="415" t="s">
        <v>254</v>
      </c>
      <c r="H2" s="416" t="s">
        <v>255</v>
      </c>
      <c r="I2" s="174"/>
      <c r="J2" s="417"/>
      <c r="K2" s="8" t="s">
        <v>256</v>
      </c>
      <c r="L2" s="8" t="s">
        <v>257</v>
      </c>
      <c r="M2" s="418"/>
      <c r="N2" s="419"/>
      <c r="O2" s="465" t="s">
        <v>258</v>
      </c>
      <c r="P2" s="465"/>
      <c r="Q2" s="465"/>
      <c r="R2" s="420"/>
      <c r="S2" s="466" t="s">
        <v>259</v>
      </c>
      <c r="T2" s="466"/>
      <c r="U2" s="467"/>
      <c r="V2" s="468" t="s">
        <v>260</v>
      </c>
      <c r="W2" s="466"/>
      <c r="X2" s="467"/>
    </row>
    <row r="3" spans="1:34" ht="35.25" customHeight="1" x14ac:dyDescent="0.3">
      <c r="A3" s="384" t="s">
        <v>261</v>
      </c>
      <c r="B3" s="476" t="str">
        <f>IF(H3&gt;=70,"6 Stars - World Leadership",IF(H3&gt;=35,"5 Star - New Zealand Excellence",IF(H3&gt;=15,"4 Star - New Zealand Best Practice","")))</f>
        <v/>
      </c>
      <c r="C3" s="477"/>
      <c r="D3" s="329"/>
      <c r="E3" s="330"/>
      <c r="F3" s="325"/>
      <c r="G3" s="277">
        <f>G68</f>
        <v>100</v>
      </c>
      <c r="H3" s="277">
        <f>H70</f>
        <v>0</v>
      </c>
      <c r="I3" s="174"/>
      <c r="J3" s="417"/>
      <c r="K3" s="276">
        <f>K68</f>
        <v>0</v>
      </c>
      <c r="L3" s="276">
        <f>L68</f>
        <v>0</v>
      </c>
      <c r="M3" s="418"/>
      <c r="N3" s="421"/>
      <c r="O3" s="478" t="s">
        <v>262</v>
      </c>
      <c r="P3" s="478"/>
      <c r="Q3" s="478"/>
      <c r="R3" s="422"/>
      <c r="S3" s="479" t="s">
        <v>262</v>
      </c>
      <c r="T3" s="479"/>
      <c r="U3" s="480"/>
      <c r="V3" s="481" t="s">
        <v>262</v>
      </c>
      <c r="W3" s="479"/>
      <c r="X3" s="480"/>
    </row>
    <row r="4" spans="1:34" ht="35.25" customHeight="1" x14ac:dyDescent="0.3">
      <c r="A4" s="385" t="s">
        <v>263</v>
      </c>
      <c r="B4" s="476" t="str">
        <f>COUNTIFS(F10:F60,"&lt;&gt;",C10:C60,"=•")&amp; " out of 16"</f>
        <v>0 out of 16</v>
      </c>
      <c r="C4" s="477"/>
      <c r="D4" s="329"/>
      <c r="E4" s="330"/>
      <c r="F4" s="325"/>
      <c r="G4" s="423"/>
      <c r="I4" s="6"/>
      <c r="J4" s="174"/>
      <c r="K4" s="174"/>
      <c r="L4" s="174"/>
      <c r="M4" s="9"/>
      <c r="N4" s="9"/>
      <c r="O4" s="478" t="s">
        <v>627</v>
      </c>
      <c r="P4" s="478"/>
      <c r="Q4" s="478"/>
      <c r="R4" s="425"/>
      <c r="S4" s="479" t="s">
        <v>627</v>
      </c>
      <c r="T4" s="479"/>
      <c r="U4" s="480"/>
      <c r="V4" s="481" t="s">
        <v>627</v>
      </c>
      <c r="W4" s="479"/>
      <c r="X4" s="480"/>
    </row>
    <row r="5" spans="1:34" ht="35.25" customHeight="1" x14ac:dyDescent="0.3">
      <c r="A5" s="386" t="s">
        <v>264</v>
      </c>
      <c r="B5" s="469" t="str">
        <f>IF(K3&gt;=70,"6 Stars - World Leadership",IF(K3&gt;=35,"5 Star - New Zealand Excellence",IF(K3&gt;=15,"4 Star - New Zealand Best Practice","")))</f>
        <v/>
      </c>
      <c r="C5" s="470"/>
      <c r="D5" s="329"/>
      <c r="E5" s="330"/>
      <c r="F5" s="325"/>
      <c r="G5" s="423"/>
      <c r="H5" s="424"/>
      <c r="I5" s="6"/>
      <c r="J5" s="174"/>
      <c r="K5" s="174"/>
      <c r="L5" s="174"/>
      <c r="M5" s="174"/>
      <c r="N5" s="174"/>
      <c r="O5" s="426"/>
      <c r="P5" s="426"/>
      <c r="Q5" s="426"/>
      <c r="R5" s="425"/>
      <c r="S5" s="471" t="s">
        <v>628</v>
      </c>
      <c r="T5" s="472"/>
      <c r="U5" s="473"/>
      <c r="V5" s="474" t="s">
        <v>628</v>
      </c>
      <c r="W5" s="472"/>
      <c r="X5" s="473"/>
    </row>
    <row r="6" spans="1:34" ht="10.5" customHeight="1" x14ac:dyDescent="0.3">
      <c r="B6" s="332"/>
      <c r="C6" s="332"/>
      <c r="D6" s="332"/>
      <c r="E6" s="114"/>
      <c r="F6" s="322"/>
      <c r="G6" s="323"/>
      <c r="H6" s="322"/>
      <c r="I6" s="331"/>
      <c r="J6" s="328"/>
      <c r="K6" s="414"/>
      <c r="L6" s="414"/>
      <c r="M6" s="175"/>
      <c r="N6" s="328"/>
      <c r="O6" s="475" t="s">
        <v>629</v>
      </c>
      <c r="P6" s="475"/>
      <c r="Q6" s="475"/>
      <c r="R6" s="272"/>
      <c r="S6" s="272"/>
      <c r="T6" s="272"/>
      <c r="U6" s="272"/>
      <c r="V6" s="272"/>
      <c r="W6" s="272"/>
      <c r="X6" s="272"/>
    </row>
    <row r="7" spans="1:34" ht="45" customHeight="1" x14ac:dyDescent="0.3">
      <c r="A7" s="17" t="s">
        <v>265</v>
      </c>
      <c r="B7" s="8" t="s">
        <v>266</v>
      </c>
      <c r="C7" s="8" t="s">
        <v>625</v>
      </c>
      <c r="D7" s="8" t="s">
        <v>623</v>
      </c>
      <c r="E7" s="8" t="s">
        <v>626</v>
      </c>
      <c r="F7" s="8" t="s">
        <v>624</v>
      </c>
      <c r="G7" s="333" t="s">
        <v>267</v>
      </c>
      <c r="H7" s="8" t="s">
        <v>268</v>
      </c>
      <c r="I7" s="22"/>
      <c r="J7" s="22"/>
      <c r="K7" s="8" t="s">
        <v>269</v>
      </c>
      <c r="L7" s="8" t="s">
        <v>270</v>
      </c>
      <c r="M7" s="121" t="s">
        <v>271</v>
      </c>
      <c r="N7" s="334" t="s">
        <v>272</v>
      </c>
      <c r="O7" s="334" t="s">
        <v>273</v>
      </c>
      <c r="P7" s="334" t="s">
        <v>274</v>
      </c>
      <c r="Q7" s="334" t="s">
        <v>275</v>
      </c>
      <c r="R7" s="334" t="s">
        <v>276</v>
      </c>
      <c r="S7" s="335" t="s">
        <v>273</v>
      </c>
      <c r="T7" s="335" t="s">
        <v>277</v>
      </c>
      <c r="U7" s="335" t="s">
        <v>278</v>
      </c>
      <c r="V7" s="335" t="s">
        <v>273</v>
      </c>
      <c r="W7" s="335" t="s">
        <v>277</v>
      </c>
      <c r="X7" s="335" t="s">
        <v>278</v>
      </c>
    </row>
    <row r="8" spans="1:34" ht="45" customHeight="1" x14ac:dyDescent="0.3">
      <c r="A8" s="17"/>
      <c r="B8" s="8"/>
      <c r="C8" s="387"/>
      <c r="D8" s="387"/>
      <c r="E8" s="387"/>
      <c r="F8" s="387"/>
      <c r="G8" s="408"/>
      <c r="H8" s="105"/>
      <c r="I8" s="22"/>
      <c r="J8" s="22"/>
      <c r="K8" s="8"/>
      <c r="L8" s="8"/>
      <c r="M8" s="121"/>
      <c r="N8" s="336" t="s">
        <v>279</v>
      </c>
      <c r="O8" s="337"/>
      <c r="P8" s="338"/>
      <c r="Q8" s="337" t="s">
        <v>280</v>
      </c>
      <c r="R8" s="334" t="s">
        <v>279</v>
      </c>
      <c r="S8" s="335"/>
      <c r="T8" s="335"/>
      <c r="U8" s="339" t="s">
        <v>280</v>
      </c>
      <c r="V8" s="335"/>
      <c r="W8" s="335"/>
      <c r="X8" s="339" t="s">
        <v>280</v>
      </c>
    </row>
    <row r="9" spans="1:34" ht="45" customHeight="1" x14ac:dyDescent="0.3">
      <c r="A9" s="388" t="s">
        <v>281</v>
      </c>
      <c r="B9" s="389"/>
      <c r="C9" s="389"/>
      <c r="D9" s="389"/>
      <c r="E9" s="389"/>
      <c r="F9" s="389"/>
      <c r="G9" s="447"/>
      <c r="H9" s="389"/>
      <c r="I9" s="429"/>
      <c r="J9" s="22"/>
      <c r="K9" s="411"/>
      <c r="L9" s="411"/>
      <c r="M9" s="263"/>
      <c r="N9" s="263"/>
      <c r="O9" s="263"/>
      <c r="P9" s="263"/>
      <c r="Q9" s="263" t="s">
        <v>280</v>
      </c>
      <c r="R9" s="263"/>
      <c r="S9" s="263"/>
      <c r="T9" s="263"/>
      <c r="U9" s="263"/>
      <c r="V9" s="263"/>
      <c r="W9" s="263"/>
      <c r="X9" s="263"/>
      <c r="AA9" s="340"/>
      <c r="AB9" s="340"/>
      <c r="AC9" s="341"/>
      <c r="AD9" s="341"/>
      <c r="AH9" s="87" t="s">
        <v>282</v>
      </c>
    </row>
    <row r="10" spans="1:34" ht="87" customHeight="1" x14ac:dyDescent="0.3">
      <c r="A10" s="390" t="s">
        <v>283</v>
      </c>
      <c r="B10" s="391">
        <v>1</v>
      </c>
      <c r="C10" s="392"/>
      <c r="D10" s="393">
        <v>1</v>
      </c>
      <c r="E10" s="394"/>
      <c r="F10" s="441"/>
      <c r="G10" s="391">
        <v>1</v>
      </c>
      <c r="H10" s="274"/>
      <c r="I10" s="429"/>
      <c r="J10" s="22"/>
      <c r="K10" s="412" t="str">
        <f t="shared" ref="K10:K16" si="0">IF(OR(M10=$AA$12,M10=$AA$13),H10,"")</f>
        <v/>
      </c>
      <c r="L10" s="412" t="str">
        <f t="shared" ref="L10:L16" si="1">IF(M10=$AA$14,H10,"")</f>
        <v/>
      </c>
      <c r="M10" s="342"/>
      <c r="N10" s="343"/>
      <c r="O10" s="270"/>
      <c r="P10" s="271"/>
      <c r="Q10" s="271"/>
      <c r="R10" s="343"/>
      <c r="S10" s="180"/>
      <c r="T10" s="181"/>
      <c r="U10" s="181"/>
      <c r="V10" s="180"/>
      <c r="W10" s="181"/>
      <c r="X10" s="181"/>
      <c r="AA10" s="340"/>
      <c r="AB10" s="340"/>
      <c r="AC10" s="341"/>
      <c r="AD10" s="341"/>
    </row>
    <row r="11" spans="1:34" ht="87" customHeight="1" x14ac:dyDescent="0.3">
      <c r="A11" s="390" t="s">
        <v>284</v>
      </c>
      <c r="B11" s="391">
        <v>2</v>
      </c>
      <c r="C11" s="395" t="s">
        <v>285</v>
      </c>
      <c r="D11" s="393">
        <v>1</v>
      </c>
      <c r="E11" s="394"/>
      <c r="F11" s="441"/>
      <c r="G11" s="446">
        <v>1</v>
      </c>
      <c r="H11" s="275"/>
      <c r="I11" s="429"/>
      <c r="J11" s="22"/>
      <c r="K11" s="412" t="str">
        <f t="shared" si="0"/>
        <v/>
      </c>
      <c r="L11" s="412" t="str">
        <f t="shared" si="1"/>
        <v/>
      </c>
      <c r="M11" s="342"/>
      <c r="N11" s="343"/>
      <c r="O11" s="270"/>
      <c r="P11" s="271"/>
      <c r="Q11" s="271"/>
      <c r="R11" s="343"/>
      <c r="S11" s="180"/>
      <c r="T11" s="181"/>
      <c r="U11" s="181"/>
      <c r="V11" s="180"/>
      <c r="W11" s="181"/>
      <c r="X11" s="181"/>
      <c r="Y11" s="344"/>
      <c r="Z11" s="344"/>
      <c r="AA11" s="340"/>
      <c r="AB11" s="340" t="s">
        <v>286</v>
      </c>
      <c r="AC11" s="341"/>
      <c r="AD11" s="341"/>
    </row>
    <row r="12" spans="1:34" ht="87" customHeight="1" x14ac:dyDescent="0.3">
      <c r="A12" s="390" t="s">
        <v>287</v>
      </c>
      <c r="B12" s="391">
        <v>3</v>
      </c>
      <c r="C12" s="395" t="s">
        <v>285</v>
      </c>
      <c r="D12" s="393">
        <v>1</v>
      </c>
      <c r="E12" s="394"/>
      <c r="F12" s="441"/>
      <c r="G12" s="445">
        <v>1</v>
      </c>
      <c r="H12" s="274"/>
      <c r="I12" s="429"/>
      <c r="J12" s="22"/>
      <c r="K12" s="412" t="str">
        <f t="shared" si="0"/>
        <v/>
      </c>
      <c r="L12" s="412" t="str">
        <f t="shared" si="1"/>
        <v/>
      </c>
      <c r="M12" s="342"/>
      <c r="N12" s="343"/>
      <c r="O12" s="270"/>
      <c r="P12" s="271"/>
      <c r="Q12" s="271"/>
      <c r="R12" s="343"/>
      <c r="S12" s="180"/>
      <c r="T12" s="181"/>
      <c r="U12" s="181"/>
      <c r="V12" s="180"/>
      <c r="W12" s="181"/>
      <c r="X12" s="181"/>
      <c r="Y12" s="344"/>
      <c r="Z12" s="344" t="s">
        <v>288</v>
      </c>
      <c r="AA12" s="340" t="s">
        <v>289</v>
      </c>
      <c r="AB12" s="340" t="s">
        <v>290</v>
      </c>
      <c r="AC12" s="341"/>
      <c r="AD12" s="341"/>
    </row>
    <row r="13" spans="1:34" ht="87" customHeight="1" x14ac:dyDescent="0.3">
      <c r="A13" s="390" t="s">
        <v>291</v>
      </c>
      <c r="B13" s="391">
        <v>4</v>
      </c>
      <c r="C13" s="395" t="s">
        <v>285</v>
      </c>
      <c r="D13" s="394"/>
      <c r="E13" s="394"/>
      <c r="F13" s="441"/>
      <c r="G13" s="444" t="str">
        <f>C7</f>
        <v>MINIMUM EXPECTATION</v>
      </c>
      <c r="H13" s="274"/>
      <c r="I13" s="429"/>
      <c r="J13" s="22"/>
      <c r="K13" s="412" t="str">
        <f t="shared" si="0"/>
        <v/>
      </c>
      <c r="L13" s="412" t="str">
        <f t="shared" si="1"/>
        <v/>
      </c>
      <c r="M13" s="342"/>
      <c r="N13" s="343"/>
      <c r="O13" s="270"/>
      <c r="P13" s="271"/>
      <c r="Q13" s="271"/>
      <c r="R13" s="343"/>
      <c r="S13" s="180"/>
      <c r="T13" s="181"/>
      <c r="U13" s="181"/>
      <c r="V13" s="180"/>
      <c r="W13" s="181"/>
      <c r="X13" s="181"/>
      <c r="Z13" s="344" t="s">
        <v>292</v>
      </c>
      <c r="AA13" s="340" t="s">
        <v>293</v>
      </c>
      <c r="AB13" s="341"/>
      <c r="AC13" s="341"/>
      <c r="AD13" s="341"/>
    </row>
    <row r="14" spans="1:34" ht="87" customHeight="1" x14ac:dyDescent="0.3">
      <c r="A14" s="390" t="s">
        <v>294</v>
      </c>
      <c r="B14" s="391">
        <v>5</v>
      </c>
      <c r="C14" s="392"/>
      <c r="D14" s="393">
        <v>1</v>
      </c>
      <c r="E14" s="394"/>
      <c r="F14" s="441"/>
      <c r="G14" s="445">
        <v>1</v>
      </c>
      <c r="H14" s="274"/>
      <c r="I14" s="429"/>
      <c r="J14" s="22"/>
      <c r="K14" s="412" t="str">
        <f t="shared" si="0"/>
        <v/>
      </c>
      <c r="L14" s="412" t="str">
        <f t="shared" si="1"/>
        <v/>
      </c>
      <c r="M14" s="342"/>
      <c r="N14" s="343"/>
      <c r="O14" s="270"/>
      <c r="P14" s="271"/>
      <c r="Q14" s="271"/>
      <c r="R14" s="343"/>
      <c r="S14" s="180"/>
      <c r="T14" s="181"/>
      <c r="U14" s="181"/>
      <c r="V14" s="180"/>
      <c r="W14" s="181"/>
      <c r="X14" s="181"/>
      <c r="Z14" s="345" t="s">
        <v>295</v>
      </c>
      <c r="AA14" s="346" t="s">
        <v>296</v>
      </c>
      <c r="AB14" s="341"/>
      <c r="AC14" s="341"/>
      <c r="AD14" s="341"/>
    </row>
    <row r="15" spans="1:34" ht="87" customHeight="1" x14ac:dyDescent="0.3">
      <c r="A15" s="390" t="s">
        <v>297</v>
      </c>
      <c r="B15" s="391">
        <v>6</v>
      </c>
      <c r="C15" s="392"/>
      <c r="D15" s="393">
        <v>3</v>
      </c>
      <c r="E15" s="393">
        <v>2</v>
      </c>
      <c r="F15" s="441"/>
      <c r="G15" s="444">
        <v>5</v>
      </c>
      <c r="H15" s="274"/>
      <c r="I15" s="429"/>
      <c r="J15" s="22"/>
      <c r="K15" s="412" t="str">
        <f t="shared" si="0"/>
        <v/>
      </c>
      <c r="L15" s="412" t="str">
        <f t="shared" si="1"/>
        <v/>
      </c>
      <c r="M15" s="342"/>
      <c r="N15" s="343"/>
      <c r="O15" s="270"/>
      <c r="P15" s="271"/>
      <c r="Q15" s="271"/>
      <c r="R15" s="343"/>
      <c r="S15" s="180"/>
      <c r="T15" s="181"/>
      <c r="U15" s="181"/>
      <c r="V15" s="180"/>
      <c r="W15" s="181"/>
      <c r="X15" s="181"/>
      <c r="AA15" s="341"/>
      <c r="AB15" s="341"/>
      <c r="AC15" s="341"/>
      <c r="AD15" s="341"/>
    </row>
    <row r="16" spans="1:34" ht="87" customHeight="1" x14ac:dyDescent="0.3">
      <c r="A16" s="390" t="s">
        <v>298</v>
      </c>
      <c r="B16" s="391">
        <v>7</v>
      </c>
      <c r="C16" s="392"/>
      <c r="D16" s="393">
        <v>2</v>
      </c>
      <c r="E16" s="393">
        <v>2</v>
      </c>
      <c r="F16" s="441"/>
      <c r="G16" s="443">
        <v>4</v>
      </c>
      <c r="H16" s="274"/>
      <c r="I16" s="429"/>
      <c r="J16" s="22"/>
      <c r="K16" s="412" t="str">
        <f t="shared" si="0"/>
        <v/>
      </c>
      <c r="L16" s="412" t="str">
        <f t="shared" si="1"/>
        <v/>
      </c>
      <c r="M16" s="342"/>
      <c r="N16" s="343"/>
      <c r="O16" s="270"/>
      <c r="P16" s="271"/>
      <c r="Q16" s="271"/>
      <c r="R16" s="343"/>
      <c r="S16" s="180"/>
      <c r="T16" s="181"/>
      <c r="U16" s="181"/>
      <c r="V16" s="180"/>
      <c r="W16" s="181"/>
      <c r="X16" s="181"/>
      <c r="AA16" s="341"/>
      <c r="AB16" s="341"/>
      <c r="AC16" s="341"/>
      <c r="AD16" s="341"/>
    </row>
    <row r="17" spans="1:36" ht="87" customHeight="1" x14ac:dyDescent="0.3">
      <c r="A17" s="390" t="s">
        <v>299</v>
      </c>
      <c r="B17" s="391">
        <v>8</v>
      </c>
      <c r="C17" s="392"/>
      <c r="D17" s="393">
        <v>1</v>
      </c>
      <c r="E17" s="393">
        <v>1</v>
      </c>
      <c r="F17" s="441"/>
      <c r="G17" s="443">
        <v>2</v>
      </c>
      <c r="H17" s="274"/>
      <c r="I17" s="429"/>
      <c r="J17" s="22"/>
      <c r="K17" s="412"/>
      <c r="L17" s="412"/>
      <c r="M17" s="342"/>
      <c r="N17" s="343"/>
      <c r="O17" s="270"/>
      <c r="P17" s="271"/>
      <c r="Q17" s="271"/>
      <c r="R17" s="343"/>
      <c r="S17" s="180"/>
      <c r="T17" s="181"/>
      <c r="U17" s="181"/>
      <c r="V17" s="180"/>
      <c r="W17" s="181"/>
      <c r="X17" s="181"/>
      <c r="AA17" s="341"/>
      <c r="AB17" s="341"/>
      <c r="AC17" s="341"/>
      <c r="AD17" s="341"/>
    </row>
    <row r="18" spans="1:36" ht="87" customHeight="1" x14ac:dyDescent="0.3">
      <c r="A18" s="390" t="s">
        <v>300</v>
      </c>
      <c r="B18" s="391">
        <v>9</v>
      </c>
      <c r="C18" s="392"/>
      <c r="D18" s="393">
        <v>1</v>
      </c>
      <c r="E18" s="393">
        <v>1</v>
      </c>
      <c r="F18" s="441"/>
      <c r="G18" s="391">
        <v>2</v>
      </c>
      <c r="H18" s="274"/>
      <c r="I18" s="429"/>
      <c r="J18" s="22"/>
      <c r="K18" s="412" t="str">
        <f>IF(OR(M18=$AA$12,M18=$AA$13),H18,"")</f>
        <v/>
      </c>
      <c r="L18" s="412" t="str">
        <f>IF(M18=$AA$14,H18,"")</f>
        <v/>
      </c>
      <c r="M18" s="342"/>
      <c r="N18" s="343"/>
      <c r="O18" s="270"/>
      <c r="P18" s="271"/>
      <c r="Q18" s="271"/>
      <c r="R18" s="343"/>
      <c r="S18" s="180"/>
      <c r="T18" s="181"/>
      <c r="U18" s="181"/>
      <c r="V18" s="180"/>
      <c r="W18" s="181"/>
      <c r="X18" s="181"/>
      <c r="Y18" s="87">
        <v>1</v>
      </c>
      <c r="AA18" s="341"/>
      <c r="AB18" s="341"/>
      <c r="AC18" s="341"/>
      <c r="AD18" s="341"/>
    </row>
    <row r="19" spans="1:36" ht="37.5" customHeight="1" x14ac:dyDescent="0.3">
      <c r="A19" s="195" t="s">
        <v>301</v>
      </c>
      <c r="B19" s="196"/>
      <c r="C19" s="196"/>
      <c r="D19" s="196"/>
      <c r="E19" s="195"/>
      <c r="F19" s="428"/>
      <c r="G19" s="427">
        <f>SUM(G10:G18)</f>
        <v>17</v>
      </c>
      <c r="H19" s="427">
        <f>SUM(H10:H18)</f>
        <v>0</v>
      </c>
      <c r="I19" s="429" t="str">
        <f>IF(H19&gt;G19,"!","")</f>
        <v/>
      </c>
      <c r="J19" s="22"/>
      <c r="K19" s="413">
        <f>SUM(K10:K18)</f>
        <v>0</v>
      </c>
      <c r="L19" s="413">
        <f>SUM(L10:L18)</f>
        <v>0</v>
      </c>
      <c r="M19" s="347"/>
      <c r="N19" s="347"/>
      <c r="O19" s="347"/>
      <c r="P19" s="347"/>
      <c r="Q19" s="347"/>
      <c r="R19" s="347"/>
      <c r="S19" s="347"/>
      <c r="T19" s="347"/>
      <c r="U19" s="347"/>
      <c r="V19" s="347"/>
      <c r="W19" s="347"/>
      <c r="X19" s="347"/>
      <c r="AE19" s="348"/>
      <c r="AF19" s="349" t="e">
        <f>IF(#REF!=TRUE,0,1)</f>
        <v>#REF!</v>
      </c>
      <c r="AG19" s="350" t="e">
        <f>IF(#REF!=TRUE,1,"-")</f>
        <v>#REF!</v>
      </c>
      <c r="AH19" s="350" t="e">
        <f>IF(#REF!=TRUE,AG19,0)</f>
        <v>#REF!</v>
      </c>
      <c r="AI19" s="350" t="e">
        <f>IF(OR(#REF!=$AA$12,#REF!=$AA$13),AH19,0)</f>
        <v>#REF!</v>
      </c>
      <c r="AJ19" s="351" t="e">
        <f>IF(#REF!=$AA$14,AH19,0)</f>
        <v>#REF!</v>
      </c>
    </row>
    <row r="20" spans="1:36" ht="45" customHeight="1" x14ac:dyDescent="0.3">
      <c r="A20" s="396" t="s">
        <v>302</v>
      </c>
      <c r="B20" s="397"/>
      <c r="C20" s="397"/>
      <c r="D20" s="397"/>
      <c r="E20" s="397"/>
      <c r="F20" s="397"/>
      <c r="G20" s="442"/>
      <c r="H20" s="397"/>
      <c r="I20" s="429" t="str">
        <f>IF(H20&gt;G20,"!","")</f>
        <v/>
      </c>
      <c r="J20" s="22"/>
      <c r="K20" s="397"/>
      <c r="L20" s="397"/>
      <c r="M20" s="264"/>
      <c r="N20" s="264"/>
      <c r="O20" s="184"/>
      <c r="P20" s="183"/>
      <c r="Q20" s="183"/>
      <c r="R20" s="264"/>
      <c r="S20" s="264"/>
      <c r="T20" s="264"/>
      <c r="U20" s="264"/>
      <c r="V20" s="264"/>
      <c r="W20" s="264"/>
      <c r="X20" s="264"/>
      <c r="AE20" s="348">
        <v>10.3</v>
      </c>
      <c r="AF20" s="349" t="e">
        <f>IF(#REF!=TRUE,0,IF(#REF!=FALSE,#REF!,#REF!))</f>
        <v>#REF!</v>
      </c>
      <c r="AG20" s="350" t="e">
        <f>IF(#REF!=TRUE,1,IF(#REF!=TRUE,1-AF20,"-"))</f>
        <v>#REF!</v>
      </c>
      <c r="AH20" s="350" t="e">
        <f>#REF!</f>
        <v>#REF!</v>
      </c>
      <c r="AI20" s="350" t="e">
        <f>IF(OR(#REF!=$AA$12,#REF!=$AA$13),AH20,0)</f>
        <v>#REF!</v>
      </c>
      <c r="AJ20" s="351" t="e">
        <f>IF(#REF!=$AA$14,AH20,0)</f>
        <v>#REF!</v>
      </c>
    </row>
    <row r="21" spans="1:36" ht="87" customHeight="1" x14ac:dyDescent="0.3">
      <c r="A21" s="390" t="s">
        <v>303</v>
      </c>
      <c r="B21" s="391">
        <v>10</v>
      </c>
      <c r="C21" s="395" t="s">
        <v>285</v>
      </c>
      <c r="D21" s="393">
        <v>2</v>
      </c>
      <c r="E21" s="394"/>
      <c r="F21" s="441"/>
      <c r="G21" s="391">
        <v>2</v>
      </c>
      <c r="H21" s="274"/>
      <c r="I21" s="429"/>
      <c r="J21" s="22"/>
      <c r="K21" s="412" t="str">
        <f>IF(OR(M21=$AA$12,M21=$AA$13),H21,"")</f>
        <v/>
      </c>
      <c r="L21" s="412" t="str">
        <f>IF(M21=$AA$14,H21,"")</f>
        <v/>
      </c>
      <c r="M21" s="352"/>
      <c r="N21" s="353"/>
      <c r="O21" s="282"/>
      <c r="P21" s="283"/>
      <c r="Q21" s="283"/>
      <c r="R21" s="353"/>
      <c r="S21" s="180"/>
      <c r="T21" s="181"/>
      <c r="U21" s="181"/>
      <c r="V21" s="180"/>
      <c r="W21" s="181"/>
      <c r="X21" s="181"/>
      <c r="Y21" s="87">
        <v>1</v>
      </c>
      <c r="AA21" s="341"/>
      <c r="AB21" s="341"/>
      <c r="AC21" s="341"/>
      <c r="AD21" s="341"/>
    </row>
    <row r="22" spans="1:36" ht="87" customHeight="1" x14ac:dyDescent="0.3">
      <c r="A22" s="390" t="s">
        <v>304</v>
      </c>
      <c r="B22" s="391">
        <v>11</v>
      </c>
      <c r="C22" s="395" t="s">
        <v>285</v>
      </c>
      <c r="D22" s="393">
        <v>2</v>
      </c>
      <c r="E22" s="393">
        <v>2</v>
      </c>
      <c r="F22" s="441"/>
      <c r="G22" s="391">
        <v>4</v>
      </c>
      <c r="H22" s="274"/>
      <c r="I22" s="429"/>
      <c r="J22" s="22"/>
      <c r="K22" s="412" t="str">
        <f t="shared" ref="K22:K26" si="2">IF(OR(M22=$AA$12,M22=$AA$13),H22,"")</f>
        <v/>
      </c>
      <c r="L22" s="412" t="str">
        <f t="shared" ref="L22:L25" si="3">IF(M22=$AA$14,H22,"")</f>
        <v/>
      </c>
      <c r="M22" s="352"/>
      <c r="N22" s="353"/>
      <c r="O22" s="282"/>
      <c r="P22" s="283"/>
      <c r="Q22" s="283"/>
      <c r="R22" s="353"/>
      <c r="S22" s="180"/>
      <c r="T22" s="181"/>
      <c r="U22" s="181"/>
      <c r="V22" s="180"/>
      <c r="W22" s="181"/>
      <c r="X22" s="181"/>
      <c r="AA22" s="341"/>
      <c r="AB22" s="341"/>
      <c r="AC22" s="341"/>
      <c r="AD22" s="341"/>
    </row>
    <row r="23" spans="1:36" ht="87" customHeight="1" x14ac:dyDescent="0.3">
      <c r="A23" s="390" t="s">
        <v>305</v>
      </c>
      <c r="B23" s="391">
        <v>12</v>
      </c>
      <c r="C23" s="395" t="s">
        <v>285</v>
      </c>
      <c r="D23" s="393">
        <v>2</v>
      </c>
      <c r="E23" s="394"/>
      <c r="F23" s="441"/>
      <c r="G23" s="391">
        <v>2</v>
      </c>
      <c r="H23" s="274"/>
      <c r="I23" s="429"/>
      <c r="J23" s="22"/>
      <c r="K23" s="412" t="str">
        <f t="shared" si="2"/>
        <v/>
      </c>
      <c r="L23" s="412" t="str">
        <f t="shared" si="3"/>
        <v/>
      </c>
      <c r="M23" s="352"/>
      <c r="N23" s="353"/>
      <c r="O23" s="282"/>
      <c r="P23" s="283"/>
      <c r="Q23" s="283"/>
      <c r="R23" s="353"/>
      <c r="S23" s="180"/>
      <c r="T23" s="181"/>
      <c r="U23" s="181"/>
      <c r="V23" s="180"/>
      <c r="W23" s="181"/>
      <c r="X23" s="181"/>
      <c r="AA23" s="341"/>
      <c r="AB23" s="341"/>
      <c r="AC23" s="341"/>
      <c r="AD23" s="341"/>
    </row>
    <row r="24" spans="1:36" ht="87" customHeight="1" x14ac:dyDescent="0.3">
      <c r="A24" s="390" t="s">
        <v>306</v>
      </c>
      <c r="B24" s="391">
        <v>13</v>
      </c>
      <c r="C24" s="395" t="s">
        <v>285</v>
      </c>
      <c r="D24" s="393">
        <v>2</v>
      </c>
      <c r="E24" s="394"/>
      <c r="F24" s="441"/>
      <c r="G24" s="391">
        <v>2</v>
      </c>
      <c r="H24" s="274"/>
      <c r="I24" s="429"/>
      <c r="J24" s="22"/>
      <c r="K24" s="412" t="str">
        <f t="shared" si="2"/>
        <v/>
      </c>
      <c r="L24" s="412" t="str">
        <f t="shared" si="3"/>
        <v/>
      </c>
      <c r="M24" s="352"/>
      <c r="N24" s="353"/>
      <c r="O24" s="282"/>
      <c r="P24" s="283"/>
      <c r="Q24" s="283"/>
      <c r="R24" s="353"/>
      <c r="S24" s="180"/>
      <c r="T24" s="181"/>
      <c r="U24" s="181"/>
      <c r="V24" s="180"/>
      <c r="W24" s="181"/>
      <c r="X24" s="181"/>
      <c r="AA24" s="341"/>
      <c r="AB24" s="341"/>
      <c r="AC24" s="341"/>
      <c r="AD24" s="341"/>
    </row>
    <row r="25" spans="1:36" ht="87" customHeight="1" x14ac:dyDescent="0.3">
      <c r="A25" s="390" t="s">
        <v>307</v>
      </c>
      <c r="B25" s="391">
        <v>14</v>
      </c>
      <c r="C25" s="395" t="s">
        <v>285</v>
      </c>
      <c r="D25" s="393">
        <v>1</v>
      </c>
      <c r="E25" s="393">
        <v>1</v>
      </c>
      <c r="F25" s="441"/>
      <c r="G25" s="391">
        <v>2</v>
      </c>
      <c r="H25" s="274"/>
      <c r="I25" s="429"/>
      <c r="J25" s="22"/>
      <c r="K25" s="412" t="str">
        <f t="shared" si="2"/>
        <v/>
      </c>
      <c r="L25" s="412" t="str">
        <f t="shared" si="3"/>
        <v/>
      </c>
      <c r="M25" s="352"/>
      <c r="N25" s="353"/>
      <c r="O25" s="282"/>
      <c r="P25" s="283"/>
      <c r="Q25" s="283"/>
      <c r="R25" s="353"/>
      <c r="S25" s="180"/>
      <c r="T25" s="181"/>
      <c r="U25" s="181"/>
      <c r="V25" s="180"/>
      <c r="W25" s="181"/>
      <c r="X25" s="181"/>
      <c r="AA25" s="341"/>
      <c r="AB25" s="341"/>
      <c r="AC25" s="341"/>
      <c r="AD25" s="341"/>
    </row>
    <row r="26" spans="1:36" ht="87" customHeight="1" x14ac:dyDescent="0.3">
      <c r="A26" s="390" t="s">
        <v>308</v>
      </c>
      <c r="B26" s="391">
        <v>15</v>
      </c>
      <c r="C26" s="392"/>
      <c r="D26" s="393">
        <v>1</v>
      </c>
      <c r="E26" s="393">
        <v>1</v>
      </c>
      <c r="F26" s="441"/>
      <c r="G26" s="391">
        <v>2</v>
      </c>
      <c r="H26" s="274"/>
      <c r="I26" s="429"/>
      <c r="J26" s="22"/>
      <c r="K26" s="412" t="str">
        <f t="shared" si="2"/>
        <v/>
      </c>
      <c r="L26" s="412" t="str">
        <f>IF(M26=$AA$14,H26,"")</f>
        <v/>
      </c>
      <c r="M26" s="352"/>
      <c r="N26" s="353"/>
      <c r="O26" s="282"/>
      <c r="P26" s="283"/>
      <c r="Q26" s="283"/>
      <c r="R26" s="353"/>
      <c r="S26" s="180"/>
      <c r="T26" s="181"/>
      <c r="U26" s="181"/>
      <c r="V26" s="180"/>
      <c r="W26" s="181"/>
      <c r="X26" s="181"/>
      <c r="Y26" s="87">
        <v>1</v>
      </c>
      <c r="AA26" s="341"/>
      <c r="AB26" s="341"/>
      <c r="AC26" s="341"/>
      <c r="AD26" s="341"/>
    </row>
    <row r="27" spans="1:36" ht="37.25" customHeight="1" x14ac:dyDescent="0.3">
      <c r="A27" s="195" t="s">
        <v>301</v>
      </c>
      <c r="B27" s="196"/>
      <c r="C27" s="196"/>
      <c r="D27" s="196"/>
      <c r="E27" s="195"/>
      <c r="F27" s="195"/>
      <c r="G27" s="427">
        <f>SUM(G21:G26)</f>
        <v>14</v>
      </c>
      <c r="H27" s="427">
        <f>SUM(H21:H26)</f>
        <v>0</v>
      </c>
      <c r="I27" s="429" t="str">
        <f>IF(H27&gt;G27,"!","")</f>
        <v/>
      </c>
      <c r="J27" s="22"/>
      <c r="K27" s="413">
        <f>SUM(K21:K26)</f>
        <v>0</v>
      </c>
      <c r="L27" s="413">
        <f>SUM(L21:L26)</f>
        <v>0</v>
      </c>
      <c r="M27" s="354"/>
      <c r="N27" s="354"/>
      <c r="O27" s="354"/>
      <c r="P27" s="354"/>
      <c r="Q27" s="354"/>
      <c r="R27" s="354"/>
      <c r="S27" s="354"/>
      <c r="T27" s="354"/>
      <c r="U27" s="182"/>
      <c r="V27" s="354"/>
      <c r="W27" s="182"/>
      <c r="X27" s="182"/>
      <c r="AE27" s="348"/>
      <c r="AF27" s="349" t="e">
        <f>IF(#REF!=TRUE,0,1)</f>
        <v>#REF!</v>
      </c>
      <c r="AG27" s="350" t="e">
        <f>IF(#REF!=TRUE,1,"-")</f>
        <v>#REF!</v>
      </c>
      <c r="AH27" s="350" t="e">
        <f>IF(#REF!=TRUE,AG27,0)</f>
        <v>#REF!</v>
      </c>
      <c r="AI27" s="350" t="e">
        <f>IF(OR(#REF!=$AA$12,#REF!=$AA$13),AH27,0)</f>
        <v>#REF!</v>
      </c>
      <c r="AJ27" s="351" t="e">
        <f>IF(#REF!=$AA$14,AH27,0)</f>
        <v>#REF!</v>
      </c>
    </row>
    <row r="28" spans="1:36" ht="37.25" customHeight="1" x14ac:dyDescent="0.3">
      <c r="A28" s="398" t="s">
        <v>309</v>
      </c>
      <c r="B28" s="399"/>
      <c r="C28" s="399"/>
      <c r="D28" s="399"/>
      <c r="E28" s="399"/>
      <c r="F28" s="399"/>
      <c r="G28" s="440"/>
      <c r="H28" s="399"/>
      <c r="I28" s="429" t="str">
        <f>IF(H28&gt;G28,"!","")</f>
        <v/>
      </c>
      <c r="J28" s="22"/>
      <c r="K28" s="399"/>
      <c r="L28" s="399"/>
      <c r="M28" s="265"/>
      <c r="N28" s="265"/>
      <c r="O28" s="265"/>
      <c r="P28" s="265"/>
      <c r="Q28" s="265"/>
      <c r="R28" s="265"/>
      <c r="S28" s="265"/>
      <c r="T28" s="265"/>
      <c r="U28" s="265"/>
      <c r="V28" s="265"/>
      <c r="W28" s="265"/>
      <c r="X28" s="265"/>
      <c r="AE28" s="348"/>
      <c r="AF28" s="349"/>
      <c r="AG28" s="350"/>
      <c r="AH28" s="350"/>
      <c r="AI28" s="350"/>
      <c r="AJ28" s="351"/>
    </row>
    <row r="29" spans="1:36" ht="87" customHeight="1" x14ac:dyDescent="0.3">
      <c r="A29" s="390" t="s">
        <v>310</v>
      </c>
      <c r="B29" s="391">
        <v>16</v>
      </c>
      <c r="C29" s="395" t="s">
        <v>285</v>
      </c>
      <c r="D29" s="393">
        <v>1</v>
      </c>
      <c r="E29" s="394"/>
      <c r="F29" s="434"/>
      <c r="G29" s="391">
        <v>1</v>
      </c>
      <c r="H29" s="274"/>
      <c r="I29" s="429"/>
      <c r="J29" s="22"/>
      <c r="K29" s="412" t="str">
        <f>IF(OR(M29=$AA$12,M29=$AA$13),H29,"")</f>
        <v/>
      </c>
      <c r="L29" s="412" t="str">
        <f>IF(M29=$AA$14,H29,"")</f>
        <v/>
      </c>
      <c r="M29" s="352"/>
      <c r="N29" s="353"/>
      <c r="O29" s="282"/>
      <c r="P29" s="283"/>
      <c r="Q29" s="283"/>
      <c r="R29" s="353"/>
      <c r="S29" s="181"/>
      <c r="T29" s="181"/>
      <c r="U29" s="181"/>
      <c r="V29" s="181"/>
      <c r="W29" s="181"/>
      <c r="X29" s="181"/>
      <c r="Y29" s="87">
        <v>1</v>
      </c>
      <c r="AA29" s="341"/>
      <c r="AB29" s="341"/>
      <c r="AC29" s="341"/>
      <c r="AD29" s="341"/>
    </row>
    <row r="30" spans="1:36" ht="87" customHeight="1" x14ac:dyDescent="0.3">
      <c r="A30" s="390" t="s">
        <v>311</v>
      </c>
      <c r="B30" s="391">
        <v>17</v>
      </c>
      <c r="C30" s="392"/>
      <c r="D30" s="393">
        <v>2</v>
      </c>
      <c r="E30" s="394"/>
      <c r="F30" s="434"/>
      <c r="G30" s="391">
        <v>2</v>
      </c>
      <c r="H30" s="274"/>
      <c r="I30" s="429"/>
      <c r="J30" s="22"/>
      <c r="K30" s="412" t="str">
        <f>IF(OR(M30=$AA$12,M30=$AA$13),H30,"")</f>
        <v/>
      </c>
      <c r="L30" s="412" t="str">
        <f t="shared" ref="L30:L63" si="4">IF(M30=$AA$14,H30,"")</f>
        <v/>
      </c>
      <c r="M30" s="352"/>
      <c r="N30" s="353"/>
      <c r="O30" s="284"/>
      <c r="P30" s="285"/>
      <c r="Q30" s="285"/>
      <c r="R30" s="353"/>
      <c r="S30" s="181"/>
      <c r="T30" s="181"/>
      <c r="U30" s="181"/>
      <c r="V30" s="181"/>
      <c r="W30" s="181"/>
      <c r="X30" s="181"/>
      <c r="AA30" s="341"/>
      <c r="AB30" s="341"/>
      <c r="AC30" s="341"/>
      <c r="AD30" s="341"/>
    </row>
    <row r="31" spans="1:36" ht="87" customHeight="1" x14ac:dyDescent="0.3">
      <c r="A31" s="390" t="s">
        <v>312</v>
      </c>
      <c r="B31" s="391">
        <v>18</v>
      </c>
      <c r="C31" s="392"/>
      <c r="D31" s="393">
        <v>1</v>
      </c>
      <c r="E31" s="394"/>
      <c r="F31" s="434"/>
      <c r="G31" s="391">
        <v>1</v>
      </c>
      <c r="H31" s="274"/>
      <c r="I31" s="429"/>
      <c r="J31" s="22"/>
      <c r="K31" s="412" t="str">
        <f>IF(OR(M31=$AA$12,M31=$AA$13),H31,"")</f>
        <v/>
      </c>
      <c r="L31" s="412" t="str">
        <f t="shared" si="4"/>
        <v/>
      </c>
      <c r="M31" s="352"/>
      <c r="N31" s="353"/>
      <c r="O31" s="284"/>
      <c r="P31" s="285"/>
      <c r="Q31" s="285"/>
      <c r="R31" s="353"/>
      <c r="S31" s="181"/>
      <c r="T31" s="181"/>
      <c r="U31" s="181"/>
      <c r="V31" s="181"/>
      <c r="W31" s="181"/>
      <c r="X31" s="181"/>
      <c r="AA31" s="341"/>
      <c r="AB31" s="341"/>
      <c r="AC31" s="341"/>
      <c r="AD31" s="341"/>
    </row>
    <row r="32" spans="1:36" ht="87" customHeight="1" x14ac:dyDescent="0.3">
      <c r="A32" s="390" t="s">
        <v>313</v>
      </c>
      <c r="B32" s="391">
        <v>19</v>
      </c>
      <c r="C32" s="392"/>
      <c r="D32" s="393">
        <v>1</v>
      </c>
      <c r="E32" s="394"/>
      <c r="F32" s="434"/>
      <c r="G32" s="391">
        <v>1</v>
      </c>
      <c r="H32" s="274"/>
      <c r="I32" s="429"/>
      <c r="J32" s="22"/>
      <c r="K32" s="412" t="str">
        <f>IF(OR(M32=$AA$12,M32=$AA$13),H32,"")</f>
        <v/>
      </c>
      <c r="L32" s="412" t="str">
        <f t="shared" si="4"/>
        <v/>
      </c>
      <c r="M32" s="352"/>
      <c r="N32" s="353"/>
      <c r="O32" s="284"/>
      <c r="P32" s="285"/>
      <c r="Q32" s="285"/>
      <c r="R32" s="353"/>
      <c r="S32" s="181"/>
      <c r="T32" s="181"/>
      <c r="U32" s="181"/>
      <c r="V32" s="181"/>
      <c r="W32" s="181"/>
      <c r="X32" s="181"/>
      <c r="AA32" s="341"/>
      <c r="AB32" s="341"/>
      <c r="AC32" s="341"/>
      <c r="AD32" s="341"/>
    </row>
    <row r="33" spans="1:36" ht="37.25" customHeight="1" x14ac:dyDescent="0.3">
      <c r="A33" s="195" t="s">
        <v>301</v>
      </c>
      <c r="B33" s="196"/>
      <c r="C33" s="196"/>
      <c r="D33" s="196"/>
      <c r="E33" s="195"/>
      <c r="F33" s="195"/>
      <c r="G33" s="427">
        <f>SUM(G29:G32)</f>
        <v>5</v>
      </c>
      <c r="H33" s="427">
        <f>SUM(H29:H32)</f>
        <v>0</v>
      </c>
      <c r="I33" s="429"/>
      <c r="J33" s="22"/>
      <c r="K33" s="413">
        <f>SUM(K29:K32)</f>
        <v>0</v>
      </c>
      <c r="L33" s="413">
        <f>SUM(L29:L32)</f>
        <v>0</v>
      </c>
      <c r="M33" s="354"/>
      <c r="N33" s="354"/>
      <c r="O33" s="355"/>
      <c r="P33" s="273"/>
      <c r="Q33" s="273"/>
      <c r="R33" s="354"/>
      <c r="S33" s="356"/>
      <c r="T33" s="182"/>
      <c r="U33" s="182"/>
      <c r="V33" s="356"/>
      <c r="W33" s="182"/>
      <c r="X33" s="182"/>
      <c r="AE33" s="348"/>
      <c r="AF33" s="349" t="e">
        <f>IF(#REF!=TRUE,0,1)</f>
        <v>#REF!</v>
      </c>
      <c r="AG33" s="350" t="e">
        <f>IF(#REF!=TRUE,1,"-")</f>
        <v>#REF!</v>
      </c>
      <c r="AH33" s="350" t="e">
        <f>IF(#REF!=TRUE,AG33,0)</f>
        <v>#REF!</v>
      </c>
      <c r="AI33" s="350" t="e">
        <f>IF(OR(#REF!=$AA$12,#REF!=$AA$13),AH33,0)</f>
        <v>#REF!</v>
      </c>
      <c r="AJ33" s="351" t="e">
        <f>IF(#REF!=$AA$14,AH33,0)</f>
        <v>#REF!</v>
      </c>
    </row>
    <row r="34" spans="1:36" ht="37.25" customHeight="1" x14ac:dyDescent="0.3">
      <c r="A34" s="400" t="s">
        <v>314</v>
      </c>
      <c r="B34" s="401"/>
      <c r="C34" s="401"/>
      <c r="D34" s="401"/>
      <c r="E34" s="401"/>
      <c r="F34" s="401"/>
      <c r="G34" s="439"/>
      <c r="H34" s="401"/>
      <c r="I34" s="429"/>
      <c r="J34" s="22"/>
      <c r="K34" s="401"/>
      <c r="L34" s="401"/>
      <c r="M34" s="266"/>
      <c r="N34" s="266"/>
      <c r="O34" s="356"/>
      <c r="P34" s="182"/>
      <c r="Q34" s="182"/>
      <c r="R34" s="291"/>
      <c r="S34" s="291"/>
      <c r="T34" s="291"/>
      <c r="U34" s="291"/>
      <c r="V34" s="291"/>
      <c r="W34" s="291"/>
      <c r="X34" s="291"/>
      <c r="AE34" s="348"/>
      <c r="AF34" s="349"/>
      <c r="AG34" s="350"/>
      <c r="AH34" s="350"/>
      <c r="AI34" s="350"/>
      <c r="AJ34" s="351"/>
    </row>
    <row r="35" spans="1:36" ht="87" customHeight="1" x14ac:dyDescent="0.3">
      <c r="A35" s="390" t="s">
        <v>315</v>
      </c>
      <c r="B35" s="391">
        <v>20</v>
      </c>
      <c r="C35" s="392"/>
      <c r="D35" s="393">
        <v>2</v>
      </c>
      <c r="E35" s="393">
        <v>2</v>
      </c>
      <c r="F35" s="434"/>
      <c r="G35" s="391">
        <v>4</v>
      </c>
      <c r="H35" s="274"/>
      <c r="I35" s="429"/>
      <c r="J35" s="22"/>
      <c r="K35" s="412" t="str">
        <f t="shared" ref="K35:K41" si="5">IF(OR(M35=$AA$12,M35=$AA$13),H35,"")</f>
        <v/>
      </c>
      <c r="L35" s="412" t="str">
        <f t="shared" si="4"/>
        <v/>
      </c>
      <c r="M35" s="352"/>
      <c r="N35" s="353"/>
      <c r="O35" s="284"/>
      <c r="P35" s="285"/>
      <c r="Q35" s="285"/>
      <c r="R35" s="353"/>
      <c r="S35" s="353"/>
      <c r="T35" s="353"/>
      <c r="U35" s="353"/>
      <c r="V35" s="353"/>
      <c r="W35" s="353"/>
      <c r="X35" s="353"/>
      <c r="AA35" s="341"/>
      <c r="AB35" s="341"/>
      <c r="AC35" s="341"/>
      <c r="AD35" s="341"/>
    </row>
    <row r="36" spans="1:36" ht="87" customHeight="1" x14ac:dyDescent="0.3">
      <c r="A36" s="390" t="s">
        <v>316</v>
      </c>
      <c r="B36" s="391">
        <v>21</v>
      </c>
      <c r="C36" s="395" t="s">
        <v>285</v>
      </c>
      <c r="D36" s="393">
        <v>4</v>
      </c>
      <c r="E36" s="393">
        <v>4</v>
      </c>
      <c r="F36" s="434"/>
      <c r="G36" s="391">
        <v>8</v>
      </c>
      <c r="H36" s="274"/>
      <c r="I36" s="429"/>
      <c r="J36" s="22"/>
      <c r="K36" s="412" t="str">
        <f t="shared" si="5"/>
        <v/>
      </c>
      <c r="L36" s="412" t="str">
        <f t="shared" si="4"/>
        <v/>
      </c>
      <c r="M36" s="352"/>
      <c r="N36" s="353"/>
      <c r="O36" s="284"/>
      <c r="P36" s="285"/>
      <c r="Q36" s="285"/>
      <c r="R36" s="353"/>
      <c r="S36" s="353"/>
      <c r="T36" s="353"/>
      <c r="U36" s="353"/>
      <c r="V36" s="353"/>
      <c r="W36" s="353"/>
      <c r="X36" s="353"/>
      <c r="AA36" s="341"/>
      <c r="AB36" s="341"/>
      <c r="AC36" s="341"/>
      <c r="AD36" s="341"/>
    </row>
    <row r="37" spans="1:36" ht="87" customHeight="1" x14ac:dyDescent="0.3">
      <c r="A37" s="390" t="s">
        <v>317</v>
      </c>
      <c r="B37" s="391">
        <v>22</v>
      </c>
      <c r="C37" s="395" t="s">
        <v>285</v>
      </c>
      <c r="D37" s="393">
        <v>3</v>
      </c>
      <c r="E37" s="393">
        <v>4</v>
      </c>
      <c r="F37" s="434"/>
      <c r="G37" s="391">
        <v>7</v>
      </c>
      <c r="H37" s="274"/>
      <c r="I37" s="429"/>
      <c r="J37" s="22"/>
      <c r="K37" s="412" t="str">
        <f t="shared" si="5"/>
        <v/>
      </c>
      <c r="L37" s="412" t="str">
        <f t="shared" si="4"/>
        <v/>
      </c>
      <c r="M37" s="352"/>
      <c r="N37" s="353"/>
      <c r="O37" s="284"/>
      <c r="P37" s="285"/>
      <c r="Q37" s="285"/>
      <c r="R37" s="353"/>
      <c r="S37" s="353"/>
      <c r="T37" s="353"/>
      <c r="U37" s="353"/>
      <c r="V37" s="353"/>
      <c r="W37" s="353"/>
      <c r="X37" s="353"/>
      <c r="AA37" s="341"/>
      <c r="AB37" s="341"/>
      <c r="AC37" s="341"/>
      <c r="AD37" s="341"/>
    </row>
    <row r="38" spans="1:36" ht="87" customHeight="1" x14ac:dyDescent="0.3">
      <c r="A38" s="390" t="s">
        <v>318</v>
      </c>
      <c r="B38" s="391">
        <v>23</v>
      </c>
      <c r="C38" s="395" t="s">
        <v>285</v>
      </c>
      <c r="D38" s="393">
        <v>1</v>
      </c>
      <c r="E38" s="393">
        <v>1</v>
      </c>
      <c r="F38" s="434"/>
      <c r="G38" s="391">
        <v>2</v>
      </c>
      <c r="H38" s="274"/>
      <c r="I38" s="429"/>
      <c r="J38" s="22"/>
      <c r="K38" s="412" t="str">
        <f t="shared" si="5"/>
        <v/>
      </c>
      <c r="L38" s="412" t="str">
        <f t="shared" si="4"/>
        <v/>
      </c>
      <c r="M38" s="352"/>
      <c r="N38" s="353"/>
      <c r="O38" s="284"/>
      <c r="P38" s="285"/>
      <c r="Q38" s="285"/>
      <c r="R38" s="353"/>
      <c r="S38" s="353"/>
      <c r="T38" s="353"/>
      <c r="U38" s="353"/>
      <c r="V38" s="353"/>
      <c r="W38" s="353"/>
      <c r="X38" s="353"/>
      <c r="AA38" s="341"/>
      <c r="AB38" s="341"/>
      <c r="AC38" s="341"/>
      <c r="AD38" s="341"/>
    </row>
    <row r="39" spans="1:36" ht="87" customHeight="1" x14ac:dyDescent="0.3">
      <c r="A39" s="390" t="s">
        <v>319</v>
      </c>
      <c r="B39" s="391">
        <v>24</v>
      </c>
      <c r="C39" s="392"/>
      <c r="D39" s="393">
        <v>2</v>
      </c>
      <c r="E39" s="393">
        <v>2</v>
      </c>
      <c r="F39" s="434"/>
      <c r="G39" s="391">
        <v>4</v>
      </c>
      <c r="H39" s="274"/>
      <c r="I39" s="429"/>
      <c r="J39" s="22"/>
      <c r="K39" s="412" t="str">
        <f t="shared" si="5"/>
        <v/>
      </c>
      <c r="L39" s="412" t="str">
        <f t="shared" si="4"/>
        <v/>
      </c>
      <c r="M39" s="352"/>
      <c r="N39" s="353"/>
      <c r="O39" s="284"/>
      <c r="P39" s="285"/>
      <c r="Q39" s="285"/>
      <c r="R39" s="353"/>
      <c r="S39" s="353"/>
      <c r="T39" s="353"/>
      <c r="U39" s="353"/>
      <c r="V39" s="353"/>
      <c r="W39" s="353"/>
      <c r="X39" s="353"/>
      <c r="AA39" s="341"/>
      <c r="AB39" s="341"/>
      <c r="AC39" s="341"/>
      <c r="AD39" s="341"/>
    </row>
    <row r="40" spans="1:36" ht="87" customHeight="1" x14ac:dyDescent="0.3">
      <c r="A40" s="390" t="s">
        <v>320</v>
      </c>
      <c r="B40" s="391">
        <v>25</v>
      </c>
      <c r="C40" s="395" t="s">
        <v>285</v>
      </c>
      <c r="D40" s="393">
        <v>3</v>
      </c>
      <c r="E40" s="393">
        <v>3</v>
      </c>
      <c r="F40" s="434"/>
      <c r="G40" s="391">
        <v>6</v>
      </c>
      <c r="H40" s="274"/>
      <c r="I40" s="429"/>
      <c r="J40" s="22"/>
      <c r="K40" s="412" t="str">
        <f t="shared" si="5"/>
        <v/>
      </c>
      <c r="L40" s="412" t="str">
        <f t="shared" si="4"/>
        <v/>
      </c>
      <c r="M40" s="352"/>
      <c r="N40" s="353"/>
      <c r="O40" s="284"/>
      <c r="P40" s="285"/>
      <c r="Q40" s="285"/>
      <c r="R40" s="353"/>
      <c r="S40" s="353"/>
      <c r="T40" s="353"/>
      <c r="U40" s="353"/>
      <c r="V40" s="353"/>
      <c r="W40" s="353"/>
      <c r="X40" s="353"/>
      <c r="AA40" s="341"/>
      <c r="AB40" s="341"/>
      <c r="AC40" s="341"/>
      <c r="AD40" s="341"/>
    </row>
    <row r="41" spans="1:36" ht="87" customHeight="1" x14ac:dyDescent="0.3">
      <c r="A41" s="390" t="s">
        <v>321</v>
      </c>
      <c r="B41" s="391">
        <v>26</v>
      </c>
      <c r="C41" s="392"/>
      <c r="D41" s="393">
        <v>1</v>
      </c>
      <c r="E41" s="393">
        <v>1</v>
      </c>
      <c r="F41" s="434"/>
      <c r="G41" s="391">
        <v>2</v>
      </c>
      <c r="H41" s="274"/>
      <c r="I41" s="429"/>
      <c r="J41" s="22"/>
      <c r="K41" s="412" t="str">
        <f t="shared" si="5"/>
        <v/>
      </c>
      <c r="L41" s="412" t="str">
        <f t="shared" si="4"/>
        <v/>
      </c>
      <c r="M41" s="352"/>
      <c r="N41" s="353"/>
      <c r="O41" s="284"/>
      <c r="P41" s="285"/>
      <c r="Q41" s="285"/>
      <c r="R41" s="353"/>
      <c r="S41" s="353"/>
      <c r="T41" s="353"/>
      <c r="U41" s="353"/>
      <c r="V41" s="353"/>
      <c r="W41" s="353"/>
      <c r="X41" s="353"/>
      <c r="AA41" s="341"/>
      <c r="AB41" s="341"/>
      <c r="AC41" s="341"/>
      <c r="AD41" s="341"/>
    </row>
    <row r="42" spans="1:36" ht="37.25" customHeight="1" x14ac:dyDescent="0.3">
      <c r="A42" s="195" t="s">
        <v>301</v>
      </c>
      <c r="B42" s="196"/>
      <c r="C42" s="196"/>
      <c r="D42" s="196"/>
      <c r="E42" s="195"/>
      <c r="F42" s="195"/>
      <c r="G42" s="427">
        <f>SUM(G35:G41)</f>
        <v>33</v>
      </c>
      <c r="H42" s="427">
        <f>SUM(H35:H41)</f>
        <v>0</v>
      </c>
      <c r="I42" s="429"/>
      <c r="J42" s="22"/>
      <c r="K42" s="413">
        <f>SUM(K35:K41)</f>
        <v>0</v>
      </c>
      <c r="L42" s="413">
        <f>SUM(L35:L41)</f>
        <v>0</v>
      </c>
      <c r="M42" s="382"/>
      <c r="N42" s="182"/>
      <c r="O42" s="356"/>
      <c r="P42" s="182"/>
      <c r="Q42" s="182"/>
      <c r="R42" s="182"/>
      <c r="S42" s="356"/>
      <c r="T42" s="182"/>
      <c r="U42" s="182"/>
      <c r="V42" s="356"/>
      <c r="W42" s="182"/>
      <c r="X42" s="182"/>
      <c r="AE42" s="348"/>
      <c r="AF42" s="349" t="e">
        <f>IF(#REF!=TRUE,0,1)</f>
        <v>#REF!</v>
      </c>
      <c r="AG42" s="350" t="e">
        <f>IF(#REF!=TRUE,1,"-")</f>
        <v>#REF!</v>
      </c>
      <c r="AH42" s="350" t="e">
        <f>IF(#REF!=TRUE,AG42,0)</f>
        <v>#REF!</v>
      </c>
      <c r="AI42" s="350" t="e">
        <f>IF(OR(#REF!=$AA$12,#REF!=$AA$13),AH42,0)</f>
        <v>#REF!</v>
      </c>
      <c r="AJ42" s="351" t="e">
        <f>IF(#REF!=$AA$14,AH42,0)</f>
        <v>#REF!</v>
      </c>
    </row>
    <row r="43" spans="1:36" ht="37.25" customHeight="1" x14ac:dyDescent="0.3">
      <c r="A43" s="402" t="s">
        <v>322</v>
      </c>
      <c r="B43" s="402"/>
      <c r="C43" s="402"/>
      <c r="D43" s="402"/>
      <c r="E43" s="402"/>
      <c r="F43" s="402"/>
      <c r="G43" s="438"/>
      <c r="H43" s="402"/>
      <c r="I43" s="429"/>
      <c r="J43" s="22"/>
      <c r="K43" s="402"/>
      <c r="L43" s="402"/>
      <c r="M43" s="267"/>
      <c r="N43" s="267"/>
      <c r="O43" s="356"/>
      <c r="P43" s="182"/>
      <c r="Q43" s="182"/>
      <c r="R43" s="267"/>
      <c r="S43" s="267"/>
      <c r="T43" s="267"/>
      <c r="U43" s="267"/>
      <c r="V43" s="267"/>
      <c r="W43" s="267"/>
      <c r="X43" s="267"/>
      <c r="AE43" s="348"/>
      <c r="AF43" s="349"/>
      <c r="AG43" s="350"/>
      <c r="AH43" s="350"/>
      <c r="AI43" s="350"/>
      <c r="AJ43" s="351"/>
    </row>
    <row r="44" spans="1:36" ht="87" customHeight="1" x14ac:dyDescent="0.3">
      <c r="A44" s="390" t="s">
        <v>323</v>
      </c>
      <c r="B44" s="391">
        <v>27</v>
      </c>
      <c r="C44" s="395" t="s">
        <v>285</v>
      </c>
      <c r="D44" s="393">
        <v>3</v>
      </c>
      <c r="E44" s="394"/>
      <c r="F44" s="434"/>
      <c r="G44" s="391">
        <v>3</v>
      </c>
      <c r="H44" s="274"/>
      <c r="I44" s="429"/>
      <c r="J44" s="22"/>
      <c r="K44" s="412" t="str">
        <f>IF(OR(M44=$AA$12,M44=$AA$13),H44,"")</f>
        <v/>
      </c>
      <c r="L44" s="412" t="str">
        <f t="shared" si="4"/>
        <v/>
      </c>
      <c r="M44" s="352"/>
      <c r="N44" s="353"/>
      <c r="O44" s="284"/>
      <c r="P44" s="285"/>
      <c r="Q44" s="285"/>
      <c r="R44" s="353"/>
      <c r="S44" s="353"/>
      <c r="T44" s="353"/>
      <c r="U44" s="353"/>
      <c r="V44" s="353"/>
      <c r="W44" s="353"/>
      <c r="X44" s="353"/>
      <c r="AA44" s="341"/>
      <c r="AB44" s="341"/>
      <c r="AC44" s="341"/>
      <c r="AD44" s="341"/>
    </row>
    <row r="45" spans="1:36" ht="87" customHeight="1" x14ac:dyDescent="0.3">
      <c r="A45" s="390" t="s">
        <v>324</v>
      </c>
      <c r="B45" s="391">
        <v>28</v>
      </c>
      <c r="C45" s="392"/>
      <c r="D45" s="393">
        <v>2</v>
      </c>
      <c r="E45" s="394"/>
      <c r="F45" s="434"/>
      <c r="G45" s="391">
        <v>2</v>
      </c>
      <c r="H45" s="274"/>
      <c r="I45" s="429"/>
      <c r="J45" s="22"/>
      <c r="K45" s="412" t="str">
        <f>IF(OR(M45=$AA$12,M45=$AA$13),H45,"")</f>
        <v/>
      </c>
      <c r="L45" s="412" t="str">
        <f t="shared" si="4"/>
        <v/>
      </c>
      <c r="M45" s="352"/>
      <c r="N45" s="353"/>
      <c r="O45" s="284"/>
      <c r="P45" s="285"/>
      <c r="Q45" s="285"/>
      <c r="R45" s="353"/>
      <c r="S45" s="353"/>
      <c r="T45" s="353"/>
      <c r="U45" s="353"/>
      <c r="V45" s="353"/>
      <c r="W45" s="353"/>
      <c r="X45" s="353"/>
      <c r="AA45" s="341"/>
      <c r="AB45" s="341"/>
      <c r="AC45" s="341"/>
      <c r="AD45" s="341"/>
    </row>
    <row r="46" spans="1:36" ht="87" customHeight="1" x14ac:dyDescent="0.3">
      <c r="A46" s="390" t="s">
        <v>325</v>
      </c>
      <c r="B46" s="391">
        <v>29</v>
      </c>
      <c r="C46" s="392"/>
      <c r="D46" s="393">
        <v>2</v>
      </c>
      <c r="E46" s="394"/>
      <c r="F46" s="434"/>
      <c r="G46" s="391">
        <v>2</v>
      </c>
      <c r="H46" s="185"/>
      <c r="I46" s="429"/>
      <c r="J46" s="22"/>
      <c r="K46" s="412" t="str">
        <f>IF(OR(M46=$AA$12,M46=$AA$13),H46,"")</f>
        <v/>
      </c>
      <c r="L46" s="412" t="str">
        <f t="shared" si="4"/>
        <v/>
      </c>
      <c r="M46" s="352"/>
      <c r="N46" s="353"/>
      <c r="O46" s="284"/>
      <c r="P46" s="285"/>
      <c r="Q46" s="285"/>
      <c r="R46" s="353"/>
      <c r="S46" s="353"/>
      <c r="T46" s="353"/>
      <c r="U46" s="353"/>
      <c r="V46" s="353"/>
      <c r="W46" s="353"/>
      <c r="X46" s="353"/>
      <c r="AA46" s="341"/>
      <c r="AB46" s="341"/>
      <c r="AC46" s="341"/>
      <c r="AD46" s="341"/>
    </row>
    <row r="47" spans="1:36" ht="87" customHeight="1" x14ac:dyDescent="0.3">
      <c r="A47" s="390" t="s">
        <v>326</v>
      </c>
      <c r="B47" s="391">
        <v>30</v>
      </c>
      <c r="C47" s="392"/>
      <c r="D47" s="393">
        <v>1</v>
      </c>
      <c r="E47" s="394"/>
      <c r="F47" s="434"/>
      <c r="G47" s="391">
        <v>1</v>
      </c>
      <c r="H47" s="185"/>
      <c r="I47" s="429"/>
      <c r="J47" s="22"/>
      <c r="K47" s="412" t="str">
        <f>IF(OR(M47=$AA$12,M47=$AA$13),H47,"")</f>
        <v/>
      </c>
      <c r="L47" s="412" t="str">
        <f t="shared" si="4"/>
        <v/>
      </c>
      <c r="M47" s="352"/>
      <c r="N47" s="353"/>
      <c r="O47" s="284"/>
      <c r="P47" s="285"/>
      <c r="Q47" s="285"/>
      <c r="R47" s="353"/>
      <c r="S47" s="353"/>
      <c r="T47" s="353"/>
      <c r="U47" s="353"/>
      <c r="V47" s="353"/>
      <c r="W47" s="353"/>
      <c r="X47" s="353"/>
      <c r="AA47" s="341"/>
      <c r="AB47" s="341"/>
      <c r="AC47" s="341"/>
      <c r="AD47" s="341"/>
    </row>
    <row r="48" spans="1:36" ht="37.25" customHeight="1" x14ac:dyDescent="0.3">
      <c r="A48" s="195" t="s">
        <v>301</v>
      </c>
      <c r="B48" s="196"/>
      <c r="C48" s="196"/>
      <c r="D48" s="196"/>
      <c r="E48" s="195"/>
      <c r="F48" s="195"/>
      <c r="G48" s="427">
        <f>SUM(G44:G47)</f>
        <v>8</v>
      </c>
      <c r="H48" s="427">
        <f>SUM(H44:H47)</f>
        <v>0</v>
      </c>
      <c r="I48" s="429"/>
      <c r="J48" s="22"/>
      <c r="K48" s="413">
        <f>SUM(K44:K47)</f>
        <v>0</v>
      </c>
      <c r="L48" s="413">
        <f>SUM(L44:L47)</f>
        <v>0</v>
      </c>
      <c r="M48" s="382"/>
      <c r="N48" s="182"/>
      <c r="O48" s="356"/>
      <c r="P48" s="182"/>
      <c r="Q48" s="182"/>
      <c r="R48" s="182"/>
      <c r="S48" s="356"/>
      <c r="T48" s="182"/>
      <c r="U48" s="182"/>
      <c r="V48" s="356"/>
      <c r="W48" s="182"/>
      <c r="X48" s="182"/>
      <c r="AE48" s="348"/>
      <c r="AF48" s="349" t="e">
        <f>IF(#REF!=TRUE,0,1)</f>
        <v>#REF!</v>
      </c>
      <c r="AG48" s="350" t="e">
        <f>IF(#REF!=TRUE,1,"-")</f>
        <v>#REF!</v>
      </c>
      <c r="AH48" s="350" t="e">
        <f>IF(#REF!=TRUE,AG48,0)</f>
        <v>#REF!</v>
      </c>
      <c r="AI48" s="350" t="e">
        <f>IF(OR(#REF!=$AA$12,#REF!=$AA$13),AH48,0)</f>
        <v>#REF!</v>
      </c>
      <c r="AJ48" s="351" t="e">
        <f>IF(#REF!=$AA$14,AH48,0)</f>
        <v>#REF!</v>
      </c>
    </row>
    <row r="49" spans="1:36" ht="37.25" customHeight="1" x14ac:dyDescent="0.3">
      <c r="A49" s="403" t="s">
        <v>327</v>
      </c>
      <c r="B49" s="403"/>
      <c r="C49" s="403"/>
      <c r="D49" s="403"/>
      <c r="E49" s="403"/>
      <c r="F49" s="403"/>
      <c r="G49" s="437"/>
      <c r="H49" s="403"/>
      <c r="I49" s="429"/>
      <c r="J49" s="22"/>
      <c r="K49" s="403"/>
      <c r="L49" s="403"/>
      <c r="M49" s="286"/>
      <c r="N49" s="286"/>
      <c r="O49" s="286"/>
      <c r="P49" s="286"/>
      <c r="Q49" s="286"/>
      <c r="R49" s="286"/>
      <c r="S49" s="286"/>
      <c r="T49" s="286"/>
      <c r="U49" s="286"/>
      <c r="V49" s="286"/>
      <c r="W49" s="286"/>
      <c r="X49" s="286"/>
      <c r="AE49" s="348"/>
      <c r="AF49" s="349"/>
      <c r="AG49" s="350"/>
      <c r="AH49" s="350"/>
      <c r="AI49" s="350"/>
      <c r="AJ49" s="351"/>
    </row>
    <row r="50" spans="1:36" ht="87" customHeight="1" x14ac:dyDescent="0.3">
      <c r="A50" s="390" t="s">
        <v>328</v>
      </c>
      <c r="B50" s="391">
        <v>31</v>
      </c>
      <c r="C50" s="395" t="s">
        <v>285</v>
      </c>
      <c r="D50" s="393">
        <v>1</v>
      </c>
      <c r="E50" s="394"/>
      <c r="F50" s="434"/>
      <c r="G50" s="391">
        <v>1</v>
      </c>
      <c r="H50" s="185"/>
      <c r="I50" s="429"/>
      <c r="J50" s="22"/>
      <c r="K50" s="412" t="str">
        <f>IF(OR(M50=$AA$12,M50=$AA$13),H50,"")</f>
        <v/>
      </c>
      <c r="L50" s="412" t="str">
        <f t="shared" si="4"/>
        <v/>
      </c>
      <c r="M50" s="357"/>
      <c r="N50" s="358"/>
      <c r="O50" s="287"/>
      <c r="P50" s="288"/>
      <c r="Q50" s="288"/>
      <c r="R50" s="358"/>
      <c r="S50" s="353"/>
      <c r="T50" s="353"/>
      <c r="U50" s="353"/>
      <c r="V50" s="353"/>
      <c r="W50" s="353"/>
      <c r="X50" s="353"/>
      <c r="AA50" s="341"/>
      <c r="AB50" s="341"/>
      <c r="AC50" s="341"/>
      <c r="AD50" s="341"/>
    </row>
    <row r="51" spans="1:36" ht="87" customHeight="1" x14ac:dyDescent="0.3">
      <c r="A51" s="390" t="s">
        <v>329</v>
      </c>
      <c r="B51" s="391">
        <v>32</v>
      </c>
      <c r="C51" s="392"/>
      <c r="D51" s="393">
        <v>1</v>
      </c>
      <c r="E51" s="393">
        <v>1</v>
      </c>
      <c r="F51" s="434"/>
      <c r="G51" s="391">
        <v>2</v>
      </c>
      <c r="H51" s="185"/>
      <c r="I51" s="429"/>
      <c r="J51" s="22"/>
      <c r="K51" s="412" t="str">
        <f>IF(OR(M51=$AA$12,M51=$AA$13),H51,"")</f>
        <v/>
      </c>
      <c r="L51" s="412" t="str">
        <f t="shared" si="4"/>
        <v/>
      </c>
      <c r="M51" s="357"/>
      <c r="N51" s="358"/>
      <c r="O51" s="287"/>
      <c r="P51" s="288"/>
      <c r="Q51" s="288"/>
      <c r="R51" s="358"/>
      <c r="S51" s="353"/>
      <c r="T51" s="353"/>
      <c r="U51" s="353"/>
      <c r="V51" s="353"/>
      <c r="W51" s="353"/>
      <c r="X51" s="353"/>
      <c r="AA51" s="341"/>
      <c r="AB51" s="341"/>
      <c r="AC51" s="341"/>
      <c r="AD51" s="341"/>
    </row>
    <row r="52" spans="1:36" ht="87" customHeight="1" x14ac:dyDescent="0.3">
      <c r="A52" s="390" t="s">
        <v>330</v>
      </c>
      <c r="B52" s="391">
        <v>33</v>
      </c>
      <c r="C52" s="392"/>
      <c r="D52" s="393">
        <v>2</v>
      </c>
      <c r="E52" s="393">
        <v>1</v>
      </c>
      <c r="F52" s="434"/>
      <c r="G52" s="391">
        <v>3</v>
      </c>
      <c r="H52" s="185"/>
      <c r="I52" s="429"/>
      <c r="J52" s="22"/>
      <c r="K52" s="412" t="str">
        <f>IF(OR(M52=$AA$12,M52=$AA$13),H52,"")</f>
        <v/>
      </c>
      <c r="L52" s="412" t="str">
        <f t="shared" si="4"/>
        <v/>
      </c>
      <c r="M52" s="357"/>
      <c r="N52" s="358"/>
      <c r="O52" s="287"/>
      <c r="P52" s="288"/>
      <c r="Q52" s="288"/>
      <c r="R52" s="358"/>
      <c r="S52" s="353"/>
      <c r="T52" s="353"/>
      <c r="U52" s="353"/>
      <c r="V52" s="353"/>
      <c r="W52" s="353"/>
      <c r="X52" s="353"/>
      <c r="AA52" s="341"/>
      <c r="AB52" s="341"/>
      <c r="AC52" s="341"/>
      <c r="AD52" s="341"/>
    </row>
    <row r="53" spans="1:36" ht="87" customHeight="1" x14ac:dyDescent="0.3">
      <c r="A53" s="390" t="s">
        <v>331</v>
      </c>
      <c r="B53" s="391">
        <v>34</v>
      </c>
      <c r="C53" s="392"/>
      <c r="D53" s="393">
        <v>2</v>
      </c>
      <c r="E53" s="393">
        <v>1</v>
      </c>
      <c r="F53" s="434"/>
      <c r="G53" s="391">
        <v>3</v>
      </c>
      <c r="H53" s="185"/>
      <c r="I53" s="429"/>
      <c r="J53" s="22"/>
      <c r="K53" s="412" t="str">
        <f>IF(OR(M53=$AA$12,M53=$AA$13),H53,"")</f>
        <v/>
      </c>
      <c r="L53" s="412" t="str">
        <f t="shared" si="4"/>
        <v/>
      </c>
      <c r="M53" s="357"/>
      <c r="N53" s="358"/>
      <c r="O53" s="287"/>
      <c r="P53" s="288"/>
      <c r="Q53" s="288"/>
      <c r="R53" s="358"/>
      <c r="S53" s="353"/>
      <c r="T53" s="353"/>
      <c r="U53" s="353"/>
      <c r="V53" s="353"/>
      <c r="W53" s="353"/>
      <c r="X53" s="353"/>
      <c r="AA53" s="341"/>
      <c r="AB53" s="341"/>
      <c r="AC53" s="341"/>
      <c r="AD53" s="341"/>
    </row>
    <row r="54" spans="1:36" ht="37.25" customHeight="1" x14ac:dyDescent="0.3">
      <c r="A54" s="195" t="s">
        <v>301</v>
      </c>
      <c r="B54" s="196"/>
      <c r="C54" s="196"/>
      <c r="D54" s="196"/>
      <c r="E54" s="195"/>
      <c r="F54" s="195"/>
      <c r="G54" s="427">
        <f>SUM(G50:G53)</f>
        <v>9</v>
      </c>
      <c r="H54" s="428">
        <f>SUM(H50:H53)</f>
        <v>0</v>
      </c>
      <c r="I54" s="429"/>
      <c r="J54" s="22"/>
      <c r="K54" s="413">
        <f>SUM(K50:K53)</f>
        <v>0</v>
      </c>
      <c r="L54" s="413">
        <f>SUM(L50:L53)</f>
        <v>0</v>
      </c>
      <c r="M54" s="382"/>
      <c r="N54" s="182"/>
      <c r="O54" s="356"/>
      <c r="P54" s="182"/>
      <c r="Q54" s="182"/>
      <c r="R54" s="182"/>
      <c r="S54" s="356"/>
      <c r="T54" s="182"/>
      <c r="U54" s="182"/>
      <c r="V54" s="356"/>
      <c r="W54" s="182"/>
      <c r="X54" s="182"/>
      <c r="AE54" s="348"/>
      <c r="AF54" s="349" t="e">
        <f>IF(#REF!=TRUE,0,1)</f>
        <v>#REF!</v>
      </c>
      <c r="AG54" s="350" t="e">
        <f>IF(#REF!=TRUE,1,"-")</f>
        <v>#REF!</v>
      </c>
      <c r="AH54" s="350" t="e">
        <f>IF(#REF!=TRUE,AG54,0)</f>
        <v>#REF!</v>
      </c>
      <c r="AI54" s="350" t="e">
        <f>IF(OR(#REF!=$AA$12,#REF!=$AA$13),AH54,0)</f>
        <v>#REF!</v>
      </c>
      <c r="AJ54" s="351" t="e">
        <f>IF(#REF!=$AA$14,AH54,0)</f>
        <v>#REF!</v>
      </c>
    </row>
    <row r="55" spans="1:36" ht="37.25" customHeight="1" x14ac:dyDescent="0.3">
      <c r="A55" s="404" t="s">
        <v>332</v>
      </c>
      <c r="B55" s="405"/>
      <c r="C55" s="405"/>
      <c r="D55" s="405"/>
      <c r="E55" s="405"/>
      <c r="F55" s="435"/>
      <c r="G55" s="436"/>
      <c r="H55" s="405"/>
      <c r="I55" s="429"/>
      <c r="J55" s="22"/>
      <c r="K55" s="405" t="str">
        <f>IF(OR(M55=$AA$12,M55=$AA$13),H55,"")</f>
        <v/>
      </c>
      <c r="L55" s="405" t="str">
        <f>IF(OR(N55=$AA$12,N55=$AA$13),I55,"")</f>
        <v/>
      </c>
      <c r="M55" s="289" t="str">
        <f t="shared" ref="M55:P55" si="6">IF(OR(O55=$AA$12,O55=$AA$13),J55,"")</f>
        <v/>
      </c>
      <c r="N55" s="289" t="str">
        <f t="shared" si="6"/>
        <v/>
      </c>
      <c r="O55" s="289" t="str">
        <f t="shared" si="6"/>
        <v/>
      </c>
      <c r="P55" s="289" t="str">
        <f t="shared" si="6"/>
        <v/>
      </c>
      <c r="Q55" s="289" t="str">
        <f>IF(OR(V55=$AA$12,V55=$AA$13),N55,"")</f>
        <v/>
      </c>
      <c r="R55" s="289" t="str">
        <f>IF(OR(W55=$AA$12,W55=$AA$13),O55,"")</f>
        <v/>
      </c>
      <c r="S55" s="289"/>
      <c r="T55" s="289"/>
      <c r="U55" s="289"/>
      <c r="V55" s="289"/>
      <c r="W55" s="289"/>
      <c r="X55" s="289"/>
      <c r="AE55" s="348"/>
      <c r="AF55" s="359"/>
      <c r="AG55" s="360"/>
      <c r="AH55" s="360"/>
      <c r="AI55" s="360"/>
      <c r="AJ55" s="360"/>
    </row>
    <row r="56" spans="1:36" ht="87" customHeight="1" x14ac:dyDescent="0.3">
      <c r="A56" s="390" t="s">
        <v>333</v>
      </c>
      <c r="B56" s="391">
        <v>35</v>
      </c>
      <c r="C56" s="395" t="s">
        <v>285</v>
      </c>
      <c r="D56" s="393">
        <v>2</v>
      </c>
      <c r="E56" s="394"/>
      <c r="F56" s="434"/>
      <c r="G56" s="391">
        <v>2</v>
      </c>
      <c r="H56" s="185"/>
      <c r="I56" s="429"/>
      <c r="J56" s="22"/>
      <c r="K56" s="412" t="str">
        <f>IF(OR(M56=$AA$12,M56=$AA$13),H56,"")</f>
        <v/>
      </c>
      <c r="L56" s="412" t="str">
        <f t="shared" si="4"/>
        <v/>
      </c>
      <c r="M56" s="357"/>
      <c r="N56" s="358"/>
      <c r="O56" s="287"/>
      <c r="P56" s="288"/>
      <c r="Q56" s="288"/>
      <c r="R56" s="358"/>
      <c r="S56" s="353"/>
      <c r="T56" s="353"/>
      <c r="U56" s="353"/>
      <c r="V56" s="353"/>
      <c r="W56" s="353"/>
      <c r="X56" s="353"/>
      <c r="AA56" s="341"/>
      <c r="AB56" s="341"/>
      <c r="AC56" s="341"/>
      <c r="AD56" s="341"/>
    </row>
    <row r="57" spans="1:36" ht="87" customHeight="1" x14ac:dyDescent="0.3">
      <c r="A57" s="390" t="s">
        <v>334</v>
      </c>
      <c r="B57" s="391">
        <v>36</v>
      </c>
      <c r="C57" s="392"/>
      <c r="D57" s="393">
        <v>2</v>
      </c>
      <c r="E57" s="393">
        <v>2</v>
      </c>
      <c r="F57" s="434"/>
      <c r="G57" s="391">
        <v>4</v>
      </c>
      <c r="H57" s="185"/>
      <c r="I57" s="429"/>
      <c r="J57" s="22"/>
      <c r="K57" s="412" t="str">
        <f>IF(OR(M57=$AA$12,M57=$AA$13),H57,"")</f>
        <v/>
      </c>
      <c r="L57" s="412" t="str">
        <f t="shared" si="4"/>
        <v/>
      </c>
      <c r="M57" s="357"/>
      <c r="N57" s="358"/>
      <c r="O57" s="287"/>
      <c r="P57" s="288"/>
      <c r="Q57" s="288"/>
      <c r="R57" s="358"/>
      <c r="S57" s="353"/>
      <c r="T57" s="353"/>
      <c r="U57" s="353"/>
      <c r="V57" s="353"/>
      <c r="W57" s="353"/>
      <c r="X57" s="353"/>
      <c r="AA57" s="341"/>
      <c r="AB57" s="341"/>
      <c r="AC57" s="341"/>
      <c r="AD57" s="341"/>
    </row>
    <row r="58" spans="1:36" ht="87" customHeight="1" x14ac:dyDescent="0.3">
      <c r="A58" s="390" t="s">
        <v>335</v>
      </c>
      <c r="B58" s="391">
        <v>37</v>
      </c>
      <c r="C58" s="392"/>
      <c r="D58" s="393">
        <v>2</v>
      </c>
      <c r="E58" s="394"/>
      <c r="F58" s="434"/>
      <c r="G58" s="391">
        <v>2</v>
      </c>
      <c r="H58" s="448"/>
      <c r="I58" s="429"/>
      <c r="J58" s="22"/>
      <c r="K58" s="412" t="str">
        <f>IF(OR(M58=$AA$12,M58=$AA$13),H58,"")</f>
        <v/>
      </c>
      <c r="L58" s="412" t="str">
        <f t="shared" si="4"/>
        <v/>
      </c>
      <c r="M58" s="357"/>
      <c r="N58" s="358"/>
      <c r="O58" s="287"/>
      <c r="P58" s="288"/>
      <c r="Q58" s="288"/>
      <c r="R58" s="358"/>
      <c r="S58" s="353"/>
      <c r="T58" s="353"/>
      <c r="U58" s="353"/>
      <c r="V58" s="353"/>
      <c r="W58" s="353"/>
      <c r="X58" s="353"/>
      <c r="AA58" s="341"/>
      <c r="AB58" s="341"/>
      <c r="AC58" s="341"/>
      <c r="AD58" s="341"/>
    </row>
    <row r="59" spans="1:36" ht="87" customHeight="1" x14ac:dyDescent="0.3">
      <c r="A59" s="390" t="s">
        <v>336</v>
      </c>
      <c r="B59" s="391">
        <v>38</v>
      </c>
      <c r="C59" s="392"/>
      <c r="D59" s="393">
        <v>2</v>
      </c>
      <c r="E59" s="394"/>
      <c r="F59" s="434"/>
      <c r="G59" s="391">
        <v>2</v>
      </c>
      <c r="H59" s="185"/>
      <c r="I59" s="429"/>
      <c r="J59" s="22"/>
      <c r="K59" s="412" t="str">
        <f>IF(OR(M59=$AA$12,M59=$AA$13),H59,"")</f>
        <v/>
      </c>
      <c r="L59" s="412" t="str">
        <f t="shared" si="4"/>
        <v/>
      </c>
      <c r="M59" s="357"/>
      <c r="N59" s="358"/>
      <c r="O59" s="287"/>
      <c r="P59" s="288"/>
      <c r="Q59" s="288"/>
      <c r="R59" s="358"/>
      <c r="S59" s="353"/>
      <c r="T59" s="353"/>
      <c r="U59" s="353"/>
      <c r="V59" s="353"/>
      <c r="W59" s="353"/>
      <c r="X59" s="353"/>
      <c r="AA59" s="341"/>
      <c r="AB59" s="341"/>
      <c r="AC59" s="341"/>
      <c r="AD59" s="341"/>
    </row>
    <row r="60" spans="1:36" ht="87" customHeight="1" x14ac:dyDescent="0.3">
      <c r="A60" s="390" t="s">
        <v>337</v>
      </c>
      <c r="B60" s="391">
        <v>39</v>
      </c>
      <c r="C60" s="392"/>
      <c r="D60" s="393">
        <v>2</v>
      </c>
      <c r="E60" s="393">
        <v>2</v>
      </c>
      <c r="F60" s="434"/>
      <c r="G60" s="391">
        <v>4</v>
      </c>
      <c r="H60" s="185"/>
      <c r="I60" s="429"/>
      <c r="J60" s="22"/>
      <c r="K60" s="412" t="str">
        <f>IF(OR(M60=$AA$12,M60=$AA$13),H60,"")</f>
        <v/>
      </c>
      <c r="L60" s="412" t="str">
        <f t="shared" si="4"/>
        <v/>
      </c>
      <c r="M60" s="357"/>
      <c r="N60" s="358"/>
      <c r="O60" s="287"/>
      <c r="P60" s="288"/>
      <c r="Q60" s="288"/>
      <c r="R60" s="358"/>
      <c r="S60" s="353"/>
      <c r="T60" s="353"/>
      <c r="U60" s="353"/>
      <c r="V60" s="353"/>
      <c r="W60" s="353"/>
      <c r="X60" s="353"/>
      <c r="AA60" s="341"/>
      <c r="AB60" s="341"/>
      <c r="AC60" s="341"/>
      <c r="AD60" s="341"/>
    </row>
    <row r="61" spans="1:36" ht="37.25" customHeight="1" x14ac:dyDescent="0.3">
      <c r="A61" s="195" t="s">
        <v>301</v>
      </c>
      <c r="B61" s="196"/>
      <c r="C61" s="196"/>
      <c r="D61" s="196"/>
      <c r="E61" s="195"/>
      <c r="F61" s="195"/>
      <c r="G61" s="427">
        <f>SUM(G56:G60)</f>
        <v>14</v>
      </c>
      <c r="H61" s="428">
        <f>SUM(H56:H60)</f>
        <v>0</v>
      </c>
      <c r="I61" s="429"/>
      <c r="J61" s="22"/>
      <c r="K61" s="413">
        <f>SUM(K56:K60)</f>
        <v>0</v>
      </c>
      <c r="L61" s="413">
        <f>SUM(L56:L60)</f>
        <v>0</v>
      </c>
      <c r="M61" s="382"/>
      <c r="N61" s="182"/>
      <c r="O61" s="356"/>
      <c r="P61" s="182"/>
      <c r="Q61" s="182"/>
      <c r="S61" s="178"/>
      <c r="T61" s="178"/>
      <c r="U61" s="178"/>
      <c r="V61" s="178"/>
      <c r="W61" s="178"/>
      <c r="X61" s="178"/>
      <c r="AE61" s="348"/>
      <c r="AF61" s="349" t="e">
        <f>IF(#REF!=TRUE,0,1)</f>
        <v>#REF!</v>
      </c>
      <c r="AG61" s="350" t="e">
        <f>IF(#REF!=TRUE,1,"-")</f>
        <v>#REF!</v>
      </c>
      <c r="AH61" s="350" t="e">
        <f>IF(#REF!=TRUE,AG61,0)</f>
        <v>#REF!</v>
      </c>
      <c r="AI61" s="350" t="e">
        <f>IF(OR(#REF!=$AA$12,#REF!=$AA$13),AH61,0)</f>
        <v>#REF!</v>
      </c>
      <c r="AJ61" s="351" t="e">
        <f>IF(#REF!=$AA$14,AH61,0)</f>
        <v>#REF!</v>
      </c>
    </row>
    <row r="62" spans="1:36" ht="29.4" customHeight="1" x14ac:dyDescent="0.3">
      <c r="A62" s="406" t="s">
        <v>338</v>
      </c>
      <c r="B62" s="407"/>
      <c r="C62" s="407"/>
      <c r="D62" s="407"/>
      <c r="E62" s="407"/>
      <c r="F62" s="407"/>
      <c r="G62" s="433"/>
      <c r="H62" s="407"/>
      <c r="I62" s="429"/>
      <c r="J62" s="22"/>
      <c r="K62" s="407" t="str">
        <f>IF(OR(M62=$AA$12,M62=$AA$13),H62,"")</f>
        <v/>
      </c>
      <c r="L62" s="407" t="str">
        <f>IF(OR(N62=$AA$12,N62=$AA$13),I62,"")</f>
        <v/>
      </c>
      <c r="M62" s="268" t="str">
        <f t="shared" ref="M62:P62" si="7">IF(OR(O62=$AA$12,O62=$AA$13),J62,"")</f>
        <v/>
      </c>
      <c r="N62" s="268" t="str">
        <f t="shared" si="7"/>
        <v/>
      </c>
      <c r="O62" s="268" t="str">
        <f t="shared" si="7"/>
        <v/>
      </c>
      <c r="P62" s="178" t="str">
        <f t="shared" si="7"/>
        <v/>
      </c>
      <c r="Q62" s="178" t="str">
        <f t="shared" ref="Q62:R62" si="8">IF(OR(V62=$AA$12,V62=$AA$13),N62,"")</f>
        <v/>
      </c>
      <c r="R62" s="290" t="str">
        <f t="shared" si="8"/>
        <v/>
      </c>
      <c r="S62" s="290"/>
      <c r="T62" s="290"/>
      <c r="U62" s="290"/>
      <c r="V62" s="290"/>
      <c r="W62" s="290"/>
      <c r="X62" s="290"/>
      <c r="AA62" s="341"/>
      <c r="AB62" s="341"/>
      <c r="AC62" s="341"/>
      <c r="AD62" s="341"/>
    </row>
    <row r="63" spans="1:36" ht="87" customHeight="1" x14ac:dyDescent="0.3">
      <c r="A63" s="390" t="s">
        <v>339</v>
      </c>
      <c r="B63" s="391">
        <v>40</v>
      </c>
      <c r="C63" s="392"/>
      <c r="D63" s="392"/>
      <c r="E63" s="392"/>
      <c r="F63" s="392"/>
      <c r="G63" s="391">
        <v>5</v>
      </c>
      <c r="H63" s="185"/>
      <c r="I63" s="429"/>
      <c r="J63" s="22"/>
      <c r="K63" s="412" t="str">
        <f>IF(OR(M63=$AA$12,M63=$AA$13),H63,"")</f>
        <v/>
      </c>
      <c r="L63" s="412" t="str">
        <f t="shared" si="4"/>
        <v/>
      </c>
      <c r="M63" s="357"/>
      <c r="N63" s="358"/>
      <c r="O63" s="287"/>
      <c r="P63" s="288"/>
      <c r="Q63" s="288"/>
      <c r="R63" s="358"/>
      <c r="S63" s="353"/>
      <c r="T63" s="353"/>
      <c r="U63" s="353"/>
      <c r="V63" s="353"/>
      <c r="W63" s="353"/>
      <c r="X63" s="353"/>
      <c r="AA63" s="341"/>
      <c r="AB63" s="341"/>
      <c r="AC63" s="341"/>
      <c r="AD63" s="341"/>
    </row>
    <row r="64" spans="1:36" ht="87" customHeight="1" x14ac:dyDescent="0.3">
      <c r="A64" s="390" t="s">
        <v>340</v>
      </c>
      <c r="B64" s="391">
        <v>41</v>
      </c>
      <c r="C64" s="392"/>
      <c r="D64" s="392"/>
      <c r="E64" s="392"/>
      <c r="F64" s="392"/>
      <c r="G64" s="391"/>
      <c r="H64" s="185"/>
      <c r="I64" s="429"/>
      <c r="J64" s="22"/>
      <c r="K64" s="412" t="str">
        <f>IF(OR(M64=$AA$12,M64=$AA$13),H64,"")</f>
        <v/>
      </c>
      <c r="L64" s="412"/>
      <c r="M64" s="357"/>
      <c r="N64" s="358"/>
      <c r="O64" s="287"/>
      <c r="P64" s="288"/>
      <c r="Q64" s="288"/>
      <c r="R64" s="358"/>
      <c r="S64" s="353"/>
      <c r="T64" s="353"/>
      <c r="U64" s="353"/>
      <c r="V64" s="353"/>
      <c r="W64" s="353"/>
      <c r="X64" s="353"/>
      <c r="AA64" s="341"/>
      <c r="AB64" s="341"/>
      <c r="AC64" s="341"/>
      <c r="AD64" s="341"/>
    </row>
    <row r="65" spans="1:36" ht="37.25" customHeight="1" x14ac:dyDescent="0.3">
      <c r="A65" s="195" t="s">
        <v>301</v>
      </c>
      <c r="B65" s="196"/>
      <c r="C65" s="196"/>
      <c r="D65" s="196"/>
      <c r="E65" s="195"/>
      <c r="F65" s="195"/>
      <c r="G65" s="427"/>
      <c r="H65" s="428">
        <f>SUM(H63:H64)</f>
        <v>0</v>
      </c>
      <c r="I65" s="429"/>
      <c r="J65" s="22"/>
      <c r="K65" s="413">
        <f>SUM(K63:K64)</f>
        <v>0</v>
      </c>
      <c r="L65" s="413">
        <f>SUM(L63:L64)</f>
        <v>0</v>
      </c>
      <c r="M65" s="382"/>
      <c r="N65" s="182"/>
      <c r="O65" s="356"/>
      <c r="P65" s="182"/>
      <c r="Q65" s="182"/>
      <c r="R65" s="182"/>
      <c r="S65" s="356"/>
      <c r="T65" s="182"/>
      <c r="U65" s="182"/>
      <c r="V65" s="356"/>
      <c r="W65" s="182"/>
      <c r="X65" s="182"/>
      <c r="AE65" s="348"/>
      <c r="AF65" s="349" t="e">
        <f>IF(#REF!=TRUE,0,1)</f>
        <v>#REF!</v>
      </c>
      <c r="AG65" s="350" t="e">
        <f>IF(#REF!=TRUE,1,"-")</f>
        <v>#REF!</v>
      </c>
      <c r="AH65" s="350" t="e">
        <f>IF(#REF!=TRUE,AG65,0)</f>
        <v>#REF!</v>
      </c>
      <c r="AI65" s="350" t="e">
        <f>IF(OR(#REF!=$AA$12,#REF!=$AA$13),AH65,0)</f>
        <v>#REF!</v>
      </c>
      <c r="AJ65" s="351" t="e">
        <f>IF(#REF!=$AA$14,AH65,0)</f>
        <v>#REF!</v>
      </c>
    </row>
    <row r="66" spans="1:36" ht="45" customHeight="1" x14ac:dyDescent="0.3">
      <c r="A66" s="361"/>
      <c r="B66" s="322"/>
      <c r="C66" s="322"/>
      <c r="D66" s="322"/>
      <c r="E66" s="361"/>
      <c r="F66" s="39"/>
      <c r="G66" s="430"/>
      <c r="H66" s="414"/>
      <c r="I66" s="431"/>
      <c r="J66" s="432"/>
      <c r="K66" s="414"/>
      <c r="L66" s="414"/>
      <c r="M66" s="176"/>
      <c r="P66" s="178"/>
      <c r="Q66" s="178"/>
      <c r="T66" s="178"/>
      <c r="U66" s="178"/>
      <c r="W66" s="178"/>
      <c r="X66" s="178"/>
    </row>
    <row r="67" spans="1:36" ht="45" customHeight="1" x14ac:dyDescent="0.3">
      <c r="A67" s="362"/>
      <c r="B67" s="363"/>
      <c r="C67" s="363"/>
      <c r="D67" s="363"/>
      <c r="E67" s="69" t="s">
        <v>341</v>
      </c>
      <c r="F67" s="173"/>
      <c r="G67" s="408" t="s">
        <v>342</v>
      </c>
      <c r="H67" s="8" t="s">
        <v>343</v>
      </c>
      <c r="I67" s="364"/>
      <c r="J67" s="364"/>
      <c r="K67" s="8" t="s">
        <v>344</v>
      </c>
      <c r="L67" s="8" t="s">
        <v>345</v>
      </c>
      <c r="M67" s="176"/>
      <c r="P67" s="178"/>
      <c r="Q67" s="178"/>
      <c r="T67" s="178"/>
      <c r="U67" s="178"/>
      <c r="W67" s="178"/>
      <c r="X67" s="178"/>
    </row>
    <row r="68" spans="1:36" ht="45" customHeight="1" x14ac:dyDescent="0.3">
      <c r="A68" s="365"/>
      <c r="B68" s="322"/>
      <c r="C68" s="322"/>
      <c r="D68" s="322"/>
      <c r="E68" s="17" t="s">
        <v>346</v>
      </c>
      <c r="F68" s="173"/>
      <c r="G68" s="279">
        <f>SUM(G19+G27+G33+G42+G48+G54+G61)</f>
        <v>100</v>
      </c>
      <c r="H68" s="280">
        <f>SUM(H19+H27+H33+H42+H48+H54+H61)</f>
        <v>0</v>
      </c>
      <c r="I68" s="364"/>
      <c r="J68" s="364"/>
      <c r="K68" s="281">
        <f>SUM(K19+K27+K33+K42+K48+K54+K61+K65)</f>
        <v>0</v>
      </c>
      <c r="L68" s="278">
        <f>SUM(L19+L27+L33+L42+L48+L54+L61+L65)</f>
        <v>0</v>
      </c>
      <c r="M68" s="176"/>
      <c r="P68" s="178"/>
      <c r="Q68" s="178"/>
      <c r="T68" s="178"/>
      <c r="U68" s="178"/>
      <c r="W68" s="178"/>
      <c r="X68" s="178"/>
    </row>
    <row r="69" spans="1:36" ht="45" customHeight="1" x14ac:dyDescent="0.3">
      <c r="A69" s="365"/>
      <c r="B69" s="322"/>
      <c r="C69" s="322"/>
      <c r="D69" s="322"/>
      <c r="E69" s="17" t="s">
        <v>347</v>
      </c>
      <c r="F69" s="173"/>
      <c r="G69" s="409"/>
      <c r="H69" s="280">
        <f>H65</f>
        <v>0</v>
      </c>
      <c r="I69" s="366"/>
      <c r="J69" s="366"/>
      <c r="K69" s="364"/>
      <c r="L69" s="364"/>
      <c r="M69" s="176"/>
      <c r="P69" s="178"/>
      <c r="Q69" s="178"/>
      <c r="T69" s="178"/>
      <c r="U69" s="178"/>
      <c r="W69" s="178"/>
      <c r="X69" s="178"/>
    </row>
    <row r="70" spans="1:36" ht="45" customHeight="1" x14ac:dyDescent="0.3">
      <c r="A70" s="367"/>
      <c r="B70" s="325"/>
      <c r="C70" s="325"/>
      <c r="D70" s="325"/>
      <c r="E70" s="17" t="s">
        <v>348</v>
      </c>
      <c r="F70" s="173"/>
      <c r="G70" s="410"/>
      <c r="H70" s="374">
        <f>H68+H69</f>
        <v>0</v>
      </c>
      <c r="I70" s="368"/>
      <c r="J70" s="368"/>
      <c r="K70" s="364"/>
      <c r="L70" s="364"/>
      <c r="M70" s="176"/>
      <c r="P70" s="178"/>
      <c r="Q70" s="178"/>
      <c r="T70" s="178"/>
      <c r="U70" s="178"/>
      <c r="W70" s="178"/>
      <c r="X70" s="178"/>
    </row>
    <row r="71" spans="1:36" ht="14" x14ac:dyDescent="0.3">
      <c r="A71" s="367"/>
      <c r="B71" s="325"/>
      <c r="C71" s="325"/>
      <c r="D71" s="325"/>
      <c r="E71" s="367"/>
      <c r="F71" s="325"/>
      <c r="G71" s="369"/>
      <c r="H71" s="325"/>
      <c r="I71" s="368"/>
      <c r="J71" s="368"/>
      <c r="K71" s="325"/>
      <c r="L71" s="325"/>
      <c r="M71" s="176"/>
      <c r="P71" s="178"/>
      <c r="Q71" s="178"/>
      <c r="T71" s="178"/>
      <c r="U71" s="178"/>
      <c r="W71" s="178"/>
      <c r="X71" s="178"/>
    </row>
    <row r="72" spans="1:36" ht="14" x14ac:dyDescent="0.3">
      <c r="A72" s="367"/>
      <c r="B72" s="325"/>
      <c r="C72" s="325"/>
      <c r="D72" s="325"/>
      <c r="E72" s="367"/>
      <c r="F72" s="325"/>
      <c r="G72" s="369"/>
      <c r="H72" s="325"/>
      <c r="I72" s="368"/>
      <c r="J72" s="368"/>
      <c r="K72" s="325"/>
      <c r="L72" s="325"/>
      <c r="M72" s="176"/>
      <c r="P72" s="178"/>
      <c r="Q72" s="178"/>
      <c r="T72" s="178"/>
      <c r="U72" s="178"/>
      <c r="W72" s="178"/>
      <c r="X72" s="178"/>
      <c r="Y72" s="368"/>
      <c r="Z72" s="368"/>
      <c r="AA72" s="368"/>
      <c r="AB72" s="368"/>
      <c r="AC72" s="368"/>
      <c r="AD72" s="368"/>
      <c r="AE72" s="368"/>
      <c r="AF72" s="368"/>
      <c r="AG72" s="368"/>
      <c r="AH72" s="368"/>
      <c r="AI72" s="368"/>
      <c r="AJ72" s="368"/>
    </row>
    <row r="73" spans="1:36" ht="14" x14ac:dyDescent="0.3">
      <c r="A73" s="367"/>
      <c r="B73" s="325"/>
      <c r="C73" s="325"/>
      <c r="D73" s="325"/>
      <c r="E73" s="367"/>
      <c r="F73" s="325"/>
      <c r="G73" s="369"/>
      <c r="H73" s="325"/>
      <c r="I73" s="368"/>
      <c r="J73" s="368"/>
      <c r="K73" s="325"/>
      <c r="L73" s="325"/>
      <c r="M73" s="176"/>
      <c r="P73" s="178"/>
      <c r="Q73" s="178"/>
      <c r="T73" s="178"/>
      <c r="U73" s="178"/>
      <c r="W73" s="178"/>
      <c r="X73" s="178"/>
      <c r="Y73" s="368"/>
      <c r="Z73" s="368"/>
      <c r="AA73" s="368"/>
      <c r="AB73" s="368"/>
      <c r="AC73" s="368"/>
      <c r="AD73" s="368"/>
      <c r="AE73" s="368"/>
      <c r="AF73" s="368"/>
      <c r="AG73" s="368"/>
      <c r="AH73" s="368"/>
      <c r="AI73" s="368"/>
      <c r="AJ73" s="368"/>
    </row>
    <row r="74" spans="1:36" ht="14" x14ac:dyDescent="0.3">
      <c r="A74" s="367"/>
      <c r="B74" s="325"/>
      <c r="C74" s="325"/>
      <c r="D74" s="325"/>
      <c r="E74" s="367"/>
      <c r="F74" s="325"/>
      <c r="G74" s="369"/>
      <c r="H74" s="325"/>
      <c r="I74" s="368"/>
      <c r="J74" s="368"/>
      <c r="K74" s="325"/>
      <c r="L74" s="325"/>
      <c r="M74" s="176"/>
      <c r="P74" s="178"/>
      <c r="Q74" s="178"/>
      <c r="T74" s="178"/>
      <c r="U74" s="178"/>
      <c r="W74" s="178"/>
      <c r="X74" s="178"/>
      <c r="Y74" s="368"/>
      <c r="Z74" s="368"/>
      <c r="AA74" s="368"/>
      <c r="AB74" s="368"/>
      <c r="AC74" s="368"/>
      <c r="AD74" s="368"/>
      <c r="AE74" s="368"/>
      <c r="AF74" s="368"/>
      <c r="AG74" s="368"/>
      <c r="AH74" s="368"/>
      <c r="AI74" s="368"/>
      <c r="AJ74" s="368"/>
    </row>
    <row r="75" spans="1:36" ht="38.25" hidden="1" customHeight="1" x14ac:dyDescent="0.3">
      <c r="A75" s="367"/>
      <c r="B75" s="325"/>
      <c r="C75" s="325"/>
      <c r="D75" s="325"/>
      <c r="E75" s="367"/>
      <c r="F75" s="325"/>
      <c r="G75" s="369"/>
      <c r="H75" s="325"/>
      <c r="I75" s="368"/>
      <c r="J75" s="368"/>
      <c r="K75" s="325"/>
      <c r="L75" s="325"/>
      <c r="M75" s="243" t="s">
        <v>349</v>
      </c>
      <c r="P75" s="178"/>
      <c r="Q75" s="178"/>
      <c r="T75" s="178"/>
      <c r="U75" s="178"/>
      <c r="W75" s="178"/>
      <c r="X75" s="178"/>
      <c r="Y75" s="368"/>
      <c r="Z75" s="368"/>
      <c r="AA75" s="368"/>
      <c r="AB75" s="368"/>
      <c r="AC75" s="368"/>
      <c r="AD75" s="368"/>
      <c r="AE75" s="368"/>
      <c r="AF75" s="368"/>
      <c r="AG75" s="368"/>
      <c r="AH75" s="368"/>
      <c r="AI75" s="368"/>
      <c r="AJ75" s="368"/>
    </row>
    <row r="76" spans="1:36" ht="38.25" hidden="1" customHeight="1" x14ac:dyDescent="0.3">
      <c r="A76" s="367"/>
      <c r="B76" s="325"/>
      <c r="C76" s="325"/>
      <c r="D76" s="325"/>
      <c r="E76" s="367"/>
      <c r="F76" s="325"/>
      <c r="G76" s="369"/>
      <c r="H76" s="325"/>
      <c r="I76" s="368"/>
      <c r="J76" s="368"/>
      <c r="K76" s="325"/>
      <c r="L76" s="370" t="s">
        <v>288</v>
      </c>
      <c r="M76" s="244">
        <f>COUNTIF(M10:M65,"Not Awarded - Major Non-compliance")</f>
        <v>0</v>
      </c>
      <c r="Y76" s="368"/>
      <c r="Z76" s="368"/>
      <c r="AA76" s="368"/>
      <c r="AB76" s="368"/>
      <c r="AC76" s="368"/>
      <c r="AD76" s="368"/>
      <c r="AE76" s="368"/>
      <c r="AF76" s="368"/>
      <c r="AG76" s="368"/>
      <c r="AH76" s="368"/>
      <c r="AI76" s="368"/>
      <c r="AJ76" s="368"/>
    </row>
    <row r="77" spans="1:36" ht="38.25" hidden="1" customHeight="1" x14ac:dyDescent="0.3">
      <c r="A77" s="367"/>
      <c r="B77" s="325"/>
      <c r="C77" s="325"/>
      <c r="D77" s="325"/>
      <c r="E77" s="367"/>
      <c r="F77" s="325"/>
      <c r="G77" s="369"/>
      <c r="H77" s="325"/>
      <c r="I77" s="368"/>
      <c r="J77" s="368"/>
      <c r="K77" s="325"/>
      <c r="L77" s="370" t="s">
        <v>292</v>
      </c>
      <c r="M77" s="244">
        <f>COUNTIF(M10:M65,"Not Awarded - Major Non-compliance")</f>
        <v>0</v>
      </c>
      <c r="Y77" s="368"/>
      <c r="Z77" s="368"/>
      <c r="AA77" s="368"/>
      <c r="AB77" s="368"/>
      <c r="AC77" s="368"/>
      <c r="AD77" s="368"/>
      <c r="AE77" s="368"/>
      <c r="AF77" s="368"/>
      <c r="AG77" s="368"/>
      <c r="AH77" s="368"/>
      <c r="AI77" s="368"/>
      <c r="AJ77" s="368"/>
    </row>
    <row r="78" spans="1:36" ht="38.25" hidden="1" customHeight="1" x14ac:dyDescent="0.3">
      <c r="A78" s="367"/>
      <c r="B78" s="325"/>
      <c r="C78" s="325"/>
      <c r="D78" s="325"/>
      <c r="E78" s="367"/>
      <c r="F78" s="325"/>
      <c r="G78" s="369"/>
      <c r="H78" s="325"/>
      <c r="I78" s="368"/>
      <c r="J78" s="368"/>
      <c r="K78" s="325"/>
      <c r="L78" s="370" t="s">
        <v>295</v>
      </c>
      <c r="M78" s="244">
        <f>COUNTIF(M10:M65,"Not Awarded - Major Non-compliance")</f>
        <v>0</v>
      </c>
      <c r="Y78" s="368"/>
      <c r="Z78" s="368"/>
      <c r="AA78" s="368"/>
      <c r="AB78" s="368"/>
      <c r="AC78" s="368"/>
      <c r="AD78" s="368"/>
      <c r="AE78" s="368"/>
      <c r="AF78" s="368"/>
      <c r="AG78" s="368"/>
      <c r="AH78" s="368"/>
      <c r="AI78" s="368"/>
      <c r="AJ78" s="368"/>
    </row>
    <row r="79" spans="1:36" ht="38.25" hidden="1" customHeight="1" x14ac:dyDescent="0.3">
      <c r="A79" s="367"/>
      <c r="B79" s="325"/>
      <c r="C79" s="325"/>
      <c r="D79" s="325"/>
      <c r="E79" s="367"/>
      <c r="F79" s="325"/>
      <c r="G79" s="369"/>
      <c r="H79" s="325"/>
      <c r="I79" s="368"/>
      <c r="J79" s="368"/>
      <c r="K79" s="325"/>
      <c r="L79" s="371" t="s">
        <v>350</v>
      </c>
      <c r="M79" s="244">
        <f>COUNTIF(M10:M65,"Not Awarded - Major Non-compliance")</f>
        <v>0</v>
      </c>
      <c r="Y79" s="368"/>
      <c r="Z79" s="368"/>
      <c r="AA79" s="368"/>
      <c r="AB79" s="368"/>
      <c r="AC79" s="368"/>
      <c r="AD79" s="368"/>
      <c r="AE79" s="368"/>
      <c r="AF79" s="368"/>
      <c r="AG79" s="368"/>
      <c r="AH79" s="368"/>
      <c r="AI79" s="368"/>
      <c r="AJ79" s="368"/>
    </row>
    <row r="80" spans="1:36" ht="38.25" hidden="1" customHeight="1" x14ac:dyDescent="0.3">
      <c r="A80" s="367"/>
      <c r="B80" s="325"/>
      <c r="C80" s="325"/>
      <c r="D80" s="325"/>
      <c r="E80" s="367"/>
      <c r="F80" s="325"/>
      <c r="G80" s="369"/>
      <c r="H80" s="325"/>
      <c r="I80" s="368"/>
      <c r="J80" s="368"/>
      <c r="K80" s="325"/>
      <c r="L80" s="325"/>
      <c r="M80" s="245">
        <f>COUNTIF(M10:M65,"Awarded - Compliant")+COUNTIF(M10:M65,"Awarded - Minor non-Compliance")+COUNTIF(M10:M65,"Not Awarded - Major non-compliance")</f>
        <v>0</v>
      </c>
      <c r="Y80" s="368"/>
      <c r="Z80" s="368"/>
      <c r="AA80" s="368"/>
      <c r="AB80" s="368"/>
      <c r="AC80" s="368"/>
      <c r="AD80" s="368"/>
      <c r="AE80" s="368"/>
      <c r="AF80" s="368"/>
      <c r="AG80" s="368"/>
      <c r="AH80" s="368"/>
      <c r="AI80" s="368"/>
      <c r="AJ80" s="368"/>
    </row>
    <row r="81" spans="1:36" ht="14" x14ac:dyDescent="0.3">
      <c r="A81" s="367"/>
      <c r="B81" s="325"/>
      <c r="C81" s="325"/>
      <c r="D81" s="325"/>
      <c r="E81" s="367"/>
      <c r="F81" s="325"/>
      <c r="G81" s="369"/>
      <c r="H81" s="325"/>
      <c r="I81" s="368"/>
      <c r="J81" s="368"/>
      <c r="K81" s="325"/>
      <c r="L81" s="325"/>
      <c r="M81" s="177"/>
      <c r="Y81" s="368"/>
      <c r="Z81" s="368"/>
      <c r="AA81" s="368"/>
      <c r="AB81" s="368"/>
      <c r="AC81" s="368"/>
      <c r="AD81" s="368"/>
      <c r="AE81" s="368"/>
      <c r="AF81" s="368"/>
      <c r="AG81" s="368"/>
      <c r="AH81" s="368"/>
      <c r="AI81" s="368"/>
      <c r="AJ81" s="368"/>
    </row>
    <row r="82" spans="1:36" ht="14" x14ac:dyDescent="0.3">
      <c r="A82" s="367"/>
      <c r="B82" s="325"/>
      <c r="C82" s="325"/>
      <c r="D82" s="325"/>
      <c r="E82" s="367"/>
      <c r="F82" s="325"/>
      <c r="G82" s="369"/>
      <c r="H82" s="325"/>
      <c r="I82" s="368"/>
      <c r="J82" s="368"/>
      <c r="K82" s="325"/>
      <c r="L82" s="325"/>
      <c r="M82" s="176"/>
      <c r="Y82" s="368"/>
      <c r="Z82" s="368"/>
      <c r="AA82" s="368"/>
      <c r="AB82" s="368"/>
      <c r="AC82" s="368"/>
      <c r="AD82" s="368"/>
      <c r="AE82" s="368"/>
      <c r="AF82" s="368"/>
      <c r="AG82" s="368"/>
      <c r="AH82" s="368"/>
      <c r="AI82" s="368"/>
      <c r="AJ82" s="368"/>
    </row>
    <row r="83" spans="1:36" ht="14" x14ac:dyDescent="0.3">
      <c r="A83" s="367"/>
      <c r="B83" s="325"/>
      <c r="C83" s="325"/>
      <c r="D83" s="325"/>
      <c r="E83" s="367"/>
      <c r="F83" s="325"/>
      <c r="G83" s="369"/>
      <c r="H83" s="325"/>
      <c r="I83" s="368"/>
      <c r="J83" s="368"/>
      <c r="K83" s="325"/>
      <c r="L83" s="325"/>
      <c r="M83" s="176"/>
      <c r="Y83" s="368"/>
      <c r="Z83" s="368"/>
      <c r="AA83" s="368"/>
      <c r="AB83" s="368"/>
      <c r="AC83" s="368"/>
      <c r="AD83" s="368"/>
      <c r="AE83" s="368"/>
      <c r="AF83" s="368"/>
      <c r="AG83" s="368"/>
      <c r="AH83" s="368"/>
      <c r="AI83" s="368"/>
      <c r="AJ83" s="368"/>
    </row>
    <row r="84" spans="1:36" ht="14" x14ac:dyDescent="0.3">
      <c r="A84" s="367"/>
      <c r="B84" s="325"/>
      <c r="C84" s="325"/>
      <c r="D84" s="325"/>
      <c r="E84" s="367"/>
      <c r="F84" s="325"/>
      <c r="G84" s="369"/>
      <c r="H84" s="325"/>
      <c r="I84" s="368"/>
      <c r="J84" s="368"/>
      <c r="K84" s="325"/>
      <c r="L84" s="325"/>
      <c r="M84" s="176"/>
      <c r="Y84" s="368"/>
      <c r="Z84" s="368"/>
      <c r="AA84" s="368"/>
      <c r="AB84" s="368"/>
      <c r="AC84" s="368"/>
      <c r="AD84" s="368"/>
      <c r="AE84" s="368"/>
      <c r="AF84" s="368"/>
      <c r="AG84" s="368"/>
      <c r="AH84" s="368"/>
      <c r="AI84" s="368"/>
      <c r="AJ84" s="368"/>
    </row>
    <row r="85" spans="1:36" ht="14" x14ac:dyDescent="0.3">
      <c r="A85" s="367"/>
      <c r="B85" s="325"/>
      <c r="C85" s="325"/>
      <c r="D85" s="325"/>
      <c r="E85" s="367"/>
      <c r="F85" s="325"/>
      <c r="G85" s="369"/>
      <c r="H85" s="325"/>
      <c r="I85" s="368"/>
      <c r="J85" s="368"/>
      <c r="K85" s="325"/>
      <c r="L85" s="325"/>
      <c r="M85" s="176"/>
      <c r="Y85" s="368"/>
      <c r="Z85" s="368"/>
      <c r="AA85" s="368"/>
      <c r="AB85" s="368"/>
      <c r="AC85" s="368"/>
      <c r="AD85" s="368"/>
      <c r="AE85" s="368"/>
      <c r="AF85" s="368"/>
      <c r="AG85" s="368"/>
      <c r="AH85" s="368"/>
      <c r="AI85" s="368"/>
      <c r="AJ85" s="368"/>
    </row>
    <row r="86" spans="1:36" ht="14" x14ac:dyDescent="0.3">
      <c r="A86" s="367"/>
      <c r="B86" s="325"/>
      <c r="C86" s="325"/>
      <c r="D86" s="325"/>
      <c r="E86" s="367"/>
      <c r="F86" s="325"/>
      <c r="G86" s="369"/>
      <c r="H86" s="325"/>
      <c r="I86" s="368"/>
      <c r="J86" s="368"/>
      <c r="K86" s="325"/>
      <c r="L86" s="325"/>
      <c r="M86" s="176"/>
      <c r="Y86" s="368"/>
      <c r="Z86" s="368"/>
      <c r="AA86" s="368"/>
      <c r="AB86" s="368"/>
      <c r="AC86" s="368"/>
      <c r="AD86" s="368"/>
      <c r="AE86" s="368"/>
      <c r="AF86" s="368"/>
      <c r="AG86" s="368"/>
      <c r="AH86" s="368"/>
      <c r="AI86" s="368"/>
      <c r="AJ86" s="368"/>
    </row>
    <row r="87" spans="1:36" ht="14" x14ac:dyDescent="0.3">
      <c r="A87" s="367"/>
      <c r="B87" s="325"/>
      <c r="C87" s="325"/>
      <c r="D87" s="325"/>
      <c r="E87" s="367"/>
      <c r="F87" s="325"/>
      <c r="G87" s="369"/>
      <c r="H87" s="325"/>
      <c r="I87" s="368"/>
      <c r="J87" s="368"/>
      <c r="K87" s="325"/>
      <c r="L87" s="325"/>
      <c r="M87" s="176"/>
      <c r="Y87" s="368"/>
      <c r="Z87" s="368"/>
      <c r="AA87" s="368"/>
      <c r="AB87" s="368"/>
      <c r="AC87" s="368"/>
      <c r="AD87" s="368"/>
      <c r="AE87" s="368"/>
      <c r="AF87" s="368"/>
      <c r="AG87" s="368"/>
      <c r="AH87" s="368"/>
      <c r="AI87" s="368"/>
      <c r="AJ87" s="368"/>
    </row>
    <row r="88" spans="1:36" ht="14" x14ac:dyDescent="0.3">
      <c r="A88" s="367"/>
      <c r="B88" s="325"/>
      <c r="C88" s="325"/>
      <c r="D88" s="325"/>
      <c r="E88" s="367"/>
      <c r="F88" s="325"/>
      <c r="G88" s="369"/>
      <c r="H88" s="325"/>
      <c r="I88" s="368"/>
      <c r="J88" s="368"/>
      <c r="K88" s="325"/>
      <c r="L88" s="325"/>
      <c r="M88" s="176"/>
      <c r="Y88" s="368"/>
      <c r="Z88" s="368"/>
      <c r="AA88" s="368"/>
      <c r="AB88" s="368"/>
      <c r="AC88" s="368"/>
      <c r="AD88" s="368"/>
      <c r="AE88" s="368"/>
      <c r="AF88" s="368"/>
      <c r="AG88" s="368"/>
      <c r="AH88" s="368"/>
      <c r="AI88" s="368"/>
      <c r="AJ88" s="368"/>
    </row>
    <row r="89" spans="1:36" ht="14" x14ac:dyDescent="0.3">
      <c r="A89" s="367"/>
      <c r="B89" s="325"/>
      <c r="C89" s="325"/>
      <c r="D89" s="325"/>
      <c r="E89" s="367"/>
      <c r="F89" s="325"/>
      <c r="G89" s="369"/>
      <c r="H89" s="325"/>
      <c r="I89" s="368"/>
      <c r="J89" s="368"/>
      <c r="K89" s="325"/>
      <c r="L89" s="325"/>
      <c r="M89" s="176"/>
      <c r="Y89" s="368"/>
      <c r="Z89" s="368"/>
      <c r="AA89" s="368"/>
      <c r="AB89" s="368"/>
      <c r="AC89" s="368"/>
      <c r="AD89" s="368"/>
      <c r="AE89" s="368"/>
      <c r="AF89" s="368"/>
      <c r="AG89" s="368"/>
      <c r="AH89" s="368"/>
      <c r="AI89" s="368"/>
      <c r="AJ89" s="368"/>
    </row>
    <row r="90" spans="1:36" ht="14" x14ac:dyDescent="0.3">
      <c r="A90" s="367"/>
      <c r="B90" s="325"/>
      <c r="C90" s="325"/>
      <c r="D90" s="325"/>
      <c r="E90" s="367"/>
      <c r="F90" s="325"/>
      <c r="G90" s="369"/>
      <c r="H90" s="325"/>
      <c r="I90" s="368"/>
      <c r="J90" s="368"/>
      <c r="K90" s="325"/>
      <c r="L90" s="325"/>
      <c r="M90" s="176"/>
      <c r="Y90" s="368"/>
      <c r="Z90" s="368"/>
      <c r="AA90" s="368"/>
      <c r="AB90" s="368"/>
      <c r="AC90" s="368"/>
      <c r="AD90" s="368"/>
      <c r="AE90" s="368"/>
      <c r="AF90" s="368"/>
      <c r="AG90" s="368"/>
      <c r="AH90" s="368"/>
      <c r="AI90" s="368"/>
      <c r="AJ90" s="368"/>
    </row>
    <row r="91" spans="1:36" ht="14" x14ac:dyDescent="0.3">
      <c r="A91" s="367"/>
      <c r="B91" s="325"/>
      <c r="C91" s="325"/>
      <c r="D91" s="325"/>
      <c r="E91" s="367"/>
      <c r="F91" s="325"/>
      <c r="G91" s="369"/>
      <c r="H91" s="325"/>
      <c r="I91" s="368"/>
      <c r="J91" s="368"/>
      <c r="K91" s="325"/>
      <c r="L91" s="325"/>
      <c r="M91" s="176"/>
      <c r="Y91" s="368"/>
      <c r="Z91" s="368"/>
      <c r="AA91" s="368"/>
      <c r="AB91" s="368"/>
      <c r="AC91" s="368"/>
      <c r="AD91" s="368"/>
      <c r="AE91" s="368"/>
      <c r="AF91" s="368"/>
      <c r="AG91" s="368"/>
      <c r="AH91" s="368"/>
      <c r="AI91" s="368"/>
      <c r="AJ91" s="368"/>
    </row>
    <row r="92" spans="1:36" ht="14" x14ac:dyDescent="0.3">
      <c r="A92" s="367"/>
      <c r="B92" s="325"/>
      <c r="C92" s="325"/>
      <c r="D92" s="325"/>
      <c r="E92" s="367"/>
      <c r="F92" s="325"/>
      <c r="G92" s="369"/>
      <c r="H92" s="325"/>
      <c r="I92" s="368"/>
      <c r="J92" s="368"/>
      <c r="K92" s="325"/>
      <c r="L92" s="325"/>
      <c r="M92" s="176"/>
      <c r="Y92" s="368"/>
      <c r="Z92" s="368"/>
      <c r="AA92" s="368"/>
      <c r="AB92" s="368"/>
      <c r="AC92" s="368"/>
      <c r="AD92" s="368"/>
      <c r="AE92" s="368"/>
      <c r="AF92" s="368"/>
      <c r="AG92" s="368"/>
      <c r="AH92" s="368"/>
      <c r="AI92" s="368"/>
      <c r="AJ92" s="368"/>
    </row>
    <row r="93" spans="1:36" ht="14" x14ac:dyDescent="0.3">
      <c r="A93" s="367"/>
      <c r="B93" s="325"/>
      <c r="C93" s="325"/>
      <c r="D93" s="325"/>
      <c r="E93" s="367"/>
      <c r="F93" s="325"/>
      <c r="G93" s="369"/>
      <c r="H93" s="325"/>
      <c r="I93" s="368"/>
      <c r="J93" s="368"/>
      <c r="K93" s="325"/>
      <c r="L93" s="325"/>
      <c r="M93" s="176"/>
      <c r="Y93" s="368"/>
      <c r="Z93" s="368"/>
      <c r="AA93" s="368"/>
      <c r="AB93" s="368"/>
      <c r="AC93" s="368"/>
      <c r="AD93" s="368"/>
      <c r="AE93" s="368"/>
      <c r="AF93" s="368"/>
      <c r="AG93" s="368"/>
      <c r="AH93" s="368"/>
      <c r="AI93" s="368"/>
      <c r="AJ93" s="368"/>
    </row>
    <row r="94" spans="1:36" ht="14" x14ac:dyDescent="0.3">
      <c r="A94" s="367"/>
      <c r="B94" s="325"/>
      <c r="C94" s="325"/>
      <c r="D94" s="325"/>
      <c r="E94" s="367"/>
      <c r="F94" s="325"/>
      <c r="G94" s="369"/>
      <c r="H94" s="325"/>
      <c r="I94" s="368"/>
      <c r="J94" s="368"/>
      <c r="K94" s="325"/>
      <c r="L94" s="325"/>
      <c r="M94" s="176"/>
      <c r="Y94" s="368"/>
      <c r="Z94" s="368"/>
      <c r="AA94" s="368"/>
      <c r="AB94" s="368"/>
      <c r="AC94" s="368"/>
      <c r="AD94" s="368"/>
      <c r="AE94" s="368"/>
      <c r="AF94" s="368"/>
      <c r="AG94" s="368"/>
      <c r="AH94" s="368"/>
      <c r="AI94" s="368"/>
      <c r="AJ94" s="368"/>
    </row>
    <row r="95" spans="1:36" ht="14" x14ac:dyDescent="0.3">
      <c r="A95" s="367"/>
      <c r="B95" s="325"/>
      <c r="C95" s="325"/>
      <c r="D95" s="325"/>
      <c r="E95" s="367"/>
      <c r="F95" s="325"/>
      <c r="G95" s="369"/>
      <c r="H95" s="325"/>
      <c r="I95" s="368"/>
      <c r="J95" s="368"/>
      <c r="K95" s="325"/>
      <c r="L95" s="325"/>
      <c r="M95" s="176"/>
      <c r="Y95" s="368"/>
      <c r="Z95" s="368"/>
      <c r="AA95" s="368"/>
      <c r="AB95" s="368"/>
      <c r="AC95" s="368"/>
      <c r="AD95" s="368"/>
      <c r="AE95" s="368"/>
      <c r="AF95" s="368"/>
      <c r="AG95" s="368"/>
      <c r="AH95" s="368"/>
      <c r="AI95" s="368"/>
      <c r="AJ95" s="368"/>
    </row>
    <row r="96" spans="1:36" ht="14" x14ac:dyDescent="0.3">
      <c r="A96" s="367"/>
      <c r="B96" s="325"/>
      <c r="C96" s="325"/>
      <c r="D96" s="325"/>
      <c r="E96" s="367"/>
      <c r="F96" s="325"/>
      <c r="G96" s="369"/>
      <c r="H96" s="325"/>
      <c r="I96" s="368"/>
      <c r="J96" s="368"/>
      <c r="K96" s="325"/>
      <c r="L96" s="325"/>
      <c r="M96" s="176"/>
      <c r="Y96" s="368"/>
      <c r="Z96" s="368"/>
      <c r="AA96" s="368"/>
      <c r="AB96" s="368"/>
      <c r="AC96" s="368"/>
      <c r="AD96" s="368"/>
      <c r="AE96" s="368"/>
      <c r="AF96" s="368"/>
      <c r="AG96" s="368"/>
      <c r="AH96" s="368"/>
      <c r="AI96" s="368"/>
      <c r="AJ96" s="368"/>
    </row>
    <row r="97" spans="1:36" ht="14" x14ac:dyDescent="0.3">
      <c r="A97" s="367"/>
      <c r="B97" s="325"/>
      <c r="C97" s="325"/>
      <c r="D97" s="325"/>
      <c r="E97" s="367"/>
      <c r="F97" s="325"/>
      <c r="G97" s="369"/>
      <c r="H97" s="325"/>
      <c r="I97" s="368"/>
      <c r="J97" s="368"/>
      <c r="K97" s="325"/>
      <c r="L97" s="325"/>
      <c r="M97" s="176"/>
      <c r="Y97" s="368"/>
      <c r="Z97" s="368"/>
      <c r="AA97" s="368"/>
      <c r="AB97" s="368"/>
      <c r="AC97" s="368"/>
      <c r="AD97" s="368"/>
      <c r="AE97" s="368"/>
      <c r="AF97" s="368"/>
      <c r="AG97" s="368"/>
      <c r="AH97" s="368"/>
      <c r="AI97" s="368"/>
      <c r="AJ97" s="368"/>
    </row>
    <row r="98" spans="1:36" ht="14" x14ac:dyDescent="0.3">
      <c r="A98" s="367"/>
      <c r="B98" s="325"/>
      <c r="C98" s="325"/>
      <c r="D98" s="325"/>
      <c r="E98" s="367"/>
      <c r="F98" s="325"/>
      <c r="G98" s="369"/>
      <c r="H98" s="325"/>
      <c r="I98" s="368"/>
      <c r="J98" s="368"/>
      <c r="K98" s="325"/>
      <c r="L98" s="325"/>
      <c r="M98" s="176"/>
      <c r="Y98" s="368"/>
      <c r="Z98" s="368"/>
      <c r="AA98" s="368"/>
      <c r="AB98" s="368"/>
      <c r="AC98" s="368"/>
      <c r="AD98" s="368"/>
      <c r="AE98" s="368"/>
      <c r="AF98" s="368"/>
      <c r="AG98" s="368"/>
      <c r="AH98" s="368"/>
      <c r="AI98" s="368"/>
      <c r="AJ98" s="368"/>
    </row>
    <row r="99" spans="1:36" ht="14" x14ac:dyDescent="0.3">
      <c r="A99" s="367"/>
      <c r="B99" s="325"/>
      <c r="C99" s="325"/>
      <c r="D99" s="325"/>
      <c r="E99" s="367"/>
      <c r="F99" s="325"/>
      <c r="G99" s="369"/>
      <c r="H99" s="325"/>
      <c r="I99" s="368"/>
      <c r="J99" s="368"/>
      <c r="K99" s="325"/>
      <c r="L99" s="325"/>
      <c r="M99" s="176"/>
      <c r="Y99" s="368"/>
      <c r="Z99" s="368"/>
      <c r="AA99" s="368"/>
      <c r="AB99" s="368"/>
      <c r="AC99" s="368"/>
      <c r="AD99" s="368"/>
      <c r="AE99" s="368"/>
      <c r="AF99" s="368"/>
      <c r="AG99" s="368"/>
      <c r="AH99" s="368"/>
      <c r="AI99" s="368"/>
      <c r="AJ99" s="368"/>
    </row>
  </sheetData>
  <sheetProtection algorithmName="SHA-512" hashValue="A+CZTE8CCD38Wi6R3vKy0boG+/s8dufvNzqVpE6ST8ukv64EHavRyK7Wb9fr2kXEUpSF6+ZAgRbdLCGjh6+ZoA==" saltValue="oVDEhhQr8OoHqgJf/yrQZg==" spinCount="100000" sheet="1" objects="1" scenarios="1"/>
  <mergeCells count="19">
    <mergeCell ref="B5:C5"/>
    <mergeCell ref="S5:U5"/>
    <mergeCell ref="V5:X5"/>
    <mergeCell ref="O6:Q6"/>
    <mergeCell ref="B3:C3"/>
    <mergeCell ref="O3:Q3"/>
    <mergeCell ref="S3:U3"/>
    <mergeCell ref="V3:X3"/>
    <mergeCell ref="B4:C4"/>
    <mergeCell ref="O4:Q4"/>
    <mergeCell ref="S4:U4"/>
    <mergeCell ref="V4:X4"/>
    <mergeCell ref="A1:E1"/>
    <mergeCell ref="N1:Q1"/>
    <mergeCell ref="R1:X1"/>
    <mergeCell ref="B2:C2"/>
    <mergeCell ref="O2:Q2"/>
    <mergeCell ref="S2:U2"/>
    <mergeCell ref="V2:X2"/>
  </mergeCells>
  <conditionalFormatting sqref="B4:C4">
    <cfRule type="cellIs" dxfId="88" priority="1" operator="equal">
      <formula>"16 out of 16"</formula>
    </cfRule>
  </conditionalFormatting>
  <conditionalFormatting sqref="D35:E39">
    <cfRule type="expression" dxfId="87" priority="2">
      <formula>VLOOKUP(D$14,REF_PerformanceLevelValues,2,FALSE)&lt;=INDEX($H35:$V35,1,MATCH(CAL_TargetedRating&amp;" "&amp;IN_RegisteringFrom,$H$47:$V$47,0))</formula>
    </cfRule>
    <cfRule type="expression" dxfId="86" priority="3">
      <formula>VLOOKUP(D$14,REF_PerformanceLevelValues,2,FALSE)&lt;=INDEX($H35:$V35,1,MATCH(IN_DesiredRating&amp;" "&amp;IN_RegisteringFrom,$H$47:$V$47,0))</formula>
    </cfRule>
  </conditionalFormatting>
  <dataValidations count="9">
    <dataValidation type="list" allowBlank="1" showInputMessage="1" showErrorMessage="1" sqref="F22 F25 F36:F38 F40" xr:uid="{6B8C1503-BD06-4B55-945A-7B233103092A}">
      <formula1>$C$7:$E$7</formula1>
    </dataValidation>
    <dataValidation type="list" allowBlank="1" showInputMessage="1" showErrorMessage="1" sqref="F15:F20 F26 F35 F39 F41 F51:F53 F57 F60" xr:uid="{BF44B203-743D-4A77-9962-718C0CCC723E}">
      <formula1>$D$7:$E$7</formula1>
    </dataValidation>
    <dataValidation type="list" allowBlank="1" showInputMessage="1" showErrorMessage="1" sqref="F13" xr:uid="{1F94CCB9-6D51-4031-8E34-6DC357276AAF}">
      <formula1>$C$7</formula1>
    </dataValidation>
    <dataValidation type="list" allowBlank="1" showInputMessage="1" showErrorMessage="1" sqref="F10 F14 F30:F32 F45:F47 F58:F59" xr:uid="{B3C941C6-9E2B-49B1-BC47-ABAE63AB2DA6}">
      <formula1>$D$7</formula1>
    </dataValidation>
    <dataValidation type="list" allowBlank="1" showInputMessage="1" showErrorMessage="1" sqref="F11:F12 F21 F23:F24 F29 F44 F50 F56" xr:uid="{C4B52F7D-ED0D-462A-B45D-75AEBA4A6EE4}">
      <formula1>$C$7:$D$7</formula1>
    </dataValidation>
    <dataValidation type="list" allowBlank="1" showInputMessage="1" showErrorMessage="1" sqref="O10:O18 S10:S18 S21:S26 S29:S32 S62:S64 S35:S41 S44:S47 S50:S53 S56:S60 V10:V18 O21:O26 V21:V26 O29:O32 V29:V32 V62:V64 V35:V41 O35:O41 V44:V47 O50:O53 V50:V53 V56:V60 O56:O60 O44:O47 O63:O64" xr:uid="{6498E4AD-B74F-42AE-8CFB-CC01AE016B63}">
      <formula1>$Y$18:$Y$18</formula1>
    </dataValidation>
    <dataValidation type="list" allowBlank="1" showInputMessage="1" showErrorMessage="1" sqref="M10:M18 M44:M47 M56:M60 M50:M53 M35:M41 M29:M32 M21:M26 M63:M64" xr:uid="{7E640A81-D460-41D5-818E-592EB139CD6A}">
      <formula1>$AA$12:$AA$14</formula1>
    </dataValidation>
    <dataValidation type="list" allowBlank="1" showInputMessage="1" showErrorMessage="1" sqref="H13" xr:uid="{FA542CDD-1E22-4334-BE63-8E55AA159EA8}">
      <formula1>$AB$11:$AB$12</formula1>
    </dataValidation>
    <dataValidation type="decimal" allowBlank="1" showInputMessage="1" showErrorMessage="1" sqref="H63:H64 H15:H18 H21:H26 H29:H32 H35:H41 H44:H47 H50:H53 H56:H60 H10:H12" xr:uid="{B6901A0B-5F89-4580-9B83-98208178066C}">
      <formula1>0</formula1>
      <formula2>G10</formula2>
    </dataValidation>
  </dataValidations>
  <pageMargins left="0.70866141732283472" right="0.70866141732283472" top="0.74803149606299213" bottom="0.74803149606299213" header="0.31496062992125984" footer="0.31496062992125984"/>
  <pageSetup paperSize="9" scale="51" fitToHeight="0" orientation="portrait" horizontalDpi="1200" verticalDpi="1200" r:id="rId1"/>
  <headerFooter>
    <oddHeader>&amp;L&amp;"Calibri"&amp;8&amp;K000000 Sensitivity: General&amp;1#_x000D_</oddHead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D125"/>
  <sheetViews>
    <sheetView topLeftCell="D1" zoomScale="70" zoomScaleNormal="70" workbookViewId="0">
      <pane ySplit="5" topLeftCell="A6" activePane="bottomLeft" state="frozen"/>
      <selection activeCell="G47" sqref="G47:G61"/>
      <selection pane="bottomLeft" activeCell="K12" sqref="K12"/>
    </sheetView>
  </sheetViews>
  <sheetFormatPr defaultColWidth="9" defaultRowHeight="14" x14ac:dyDescent="0.3"/>
  <cols>
    <col min="1" max="3" width="9" style="87" hidden="1" customWidth="1"/>
    <col min="4" max="4" width="2.6640625" style="87" customWidth="1"/>
    <col min="5" max="5" width="4" style="87" customWidth="1"/>
    <col min="6" max="6" width="24" style="5" customWidth="1"/>
    <col min="7" max="7" width="47.6640625" style="5" customWidth="1"/>
    <col min="8" max="8" width="9.58203125" style="3" customWidth="1"/>
    <col min="9" max="9" width="42.6640625" style="5" customWidth="1"/>
    <col min="10" max="11" width="14" style="3" customWidth="1"/>
    <col min="12" max="12" width="14" style="6" customWidth="1"/>
    <col min="13" max="15" width="47.6640625" style="128" customWidth="1"/>
    <col min="16" max="16" width="14" style="128" customWidth="1"/>
    <col min="17" max="17" width="13.6640625" style="6" hidden="1" customWidth="1"/>
    <col min="18" max="18" width="31.1640625" style="6" hidden="1" customWidth="1"/>
    <col min="19" max="19" width="9" style="6" hidden="1" customWidth="1"/>
    <col min="20" max="21" width="15.6640625" style="6" hidden="1" customWidth="1"/>
    <col min="22" max="22" width="9" style="6" hidden="1" customWidth="1"/>
    <col min="23" max="23" width="24.08203125" style="6" hidden="1" customWidth="1"/>
    <col min="24" max="26" width="14.08203125" style="6" hidden="1" customWidth="1"/>
    <col min="27" max="27" width="11.58203125" style="6" hidden="1" customWidth="1"/>
    <col min="28" max="29" width="14.08203125" style="6" hidden="1" customWidth="1"/>
    <col min="30" max="30" width="9" style="6" hidden="1" customWidth="1"/>
    <col min="31" max="31" width="0" style="6" hidden="1" customWidth="1"/>
    <col min="32" max="16384" width="9" style="6"/>
  </cols>
  <sheetData>
    <row r="1" spans="1:30" ht="43.5" customHeight="1" x14ac:dyDescent="1.05">
      <c r="A1" s="87" t="s">
        <v>47</v>
      </c>
      <c r="B1" s="87" t="s">
        <v>47</v>
      </c>
      <c r="C1" s="87" t="s">
        <v>47</v>
      </c>
      <c r="F1" s="498" t="s">
        <v>351</v>
      </c>
      <c r="G1" s="499"/>
      <c r="H1" s="499"/>
      <c r="I1" s="499"/>
      <c r="J1" s="1"/>
      <c r="K1" s="1"/>
      <c r="L1" s="2"/>
      <c r="M1" s="116"/>
      <c r="N1" s="117"/>
      <c r="O1" s="117"/>
      <c r="P1" s="117"/>
      <c r="R1" s="6" t="s">
        <v>47</v>
      </c>
      <c r="S1" s="6" t="s">
        <v>47</v>
      </c>
      <c r="T1" s="6" t="s">
        <v>47</v>
      </c>
      <c r="U1" s="6" t="s">
        <v>47</v>
      </c>
      <c r="V1" s="6" t="s">
        <v>47</v>
      </c>
      <c r="W1" s="6" t="s">
        <v>47</v>
      </c>
      <c r="X1" s="6" t="s">
        <v>47</v>
      </c>
      <c r="Y1" s="6" t="s">
        <v>47</v>
      </c>
      <c r="Z1" s="6" t="s">
        <v>47</v>
      </c>
      <c r="AA1" s="6" t="s">
        <v>47</v>
      </c>
      <c r="AB1" s="6" t="s">
        <v>47</v>
      </c>
      <c r="AC1" s="6" t="s">
        <v>47</v>
      </c>
      <c r="AD1" s="6" t="s">
        <v>47</v>
      </c>
    </row>
    <row r="2" spans="1:30" ht="37.5" customHeight="1" x14ac:dyDescent="0.3">
      <c r="A2" s="246" t="s">
        <v>352</v>
      </c>
      <c r="B2" s="246" t="s">
        <v>353</v>
      </c>
      <c r="C2" s="247" t="s">
        <v>354</v>
      </c>
      <c r="F2" s="240" t="s">
        <v>355</v>
      </c>
      <c r="G2" s="500" t="e">
        <f>#REF!</f>
        <v>#REF!</v>
      </c>
      <c r="H2" s="501"/>
      <c r="I2" s="7"/>
      <c r="J2" s="8" t="s">
        <v>356</v>
      </c>
      <c r="K2" s="8" t="s">
        <v>357</v>
      </c>
      <c r="L2" s="9"/>
      <c r="M2" s="118"/>
      <c r="N2" s="119"/>
      <c r="O2" s="119"/>
      <c r="P2" s="119"/>
      <c r="Q2" s="145"/>
    </row>
    <row r="3" spans="1:30" ht="37.5" customHeight="1" x14ac:dyDescent="0.3">
      <c r="F3" s="13" t="s">
        <v>261</v>
      </c>
      <c r="G3" s="502" t="str">
        <f>IF(K3&gt;=75,"6 Stars - World Leadership",IF(K3&gt;=60,"5 Stars - New Zealand Excellence",IF(K3&gt;=45,"4 Stars - New Zealand Best Practice","")))</f>
        <v/>
      </c>
      <c r="H3" s="503"/>
      <c r="I3" s="14"/>
      <c r="J3" s="77">
        <f>J112</f>
        <v>100</v>
      </c>
      <c r="K3" s="78">
        <f>K115</f>
        <v>0</v>
      </c>
      <c r="L3" s="9"/>
      <c r="M3" s="118"/>
      <c r="N3" s="119"/>
      <c r="O3" s="119"/>
      <c r="P3" s="119"/>
      <c r="Q3" s="145"/>
    </row>
    <row r="4" spans="1:30" ht="37.5" customHeight="1" x14ac:dyDescent="0.3">
      <c r="G4" s="16"/>
      <c r="H4" s="1"/>
      <c r="I4" s="16"/>
      <c r="J4" s="1"/>
      <c r="K4" s="1"/>
      <c r="L4" s="9"/>
      <c r="M4" s="118"/>
      <c r="N4" s="117"/>
      <c r="O4" s="117"/>
      <c r="P4" s="117"/>
      <c r="Q4" s="146"/>
    </row>
    <row r="5" spans="1:30" ht="45" customHeight="1" x14ac:dyDescent="0.3">
      <c r="E5" s="88" t="s">
        <v>358</v>
      </c>
      <c r="F5" s="17" t="s">
        <v>265</v>
      </c>
      <c r="G5" s="17" t="s">
        <v>359</v>
      </c>
      <c r="H5" s="8" t="s">
        <v>266</v>
      </c>
      <c r="I5" s="17" t="s">
        <v>360</v>
      </c>
      <c r="J5" s="8" t="s">
        <v>267</v>
      </c>
      <c r="K5" s="8" t="s">
        <v>268</v>
      </c>
      <c r="L5" s="18"/>
      <c r="M5" s="120" t="s">
        <v>361</v>
      </c>
      <c r="N5" s="121"/>
      <c r="O5" s="121"/>
      <c r="P5" s="87"/>
      <c r="Q5" s="146"/>
    </row>
    <row r="6" spans="1:30" ht="45" customHeight="1" x14ac:dyDescent="0.3">
      <c r="E6" s="187"/>
      <c r="F6" s="186" t="s">
        <v>362</v>
      </c>
      <c r="G6" s="187"/>
      <c r="H6" s="188"/>
      <c r="I6" s="187"/>
      <c r="J6" s="188">
        <f>15-SUM(B7:B24)</f>
        <v>15</v>
      </c>
      <c r="K6" s="188"/>
      <c r="L6" s="18"/>
      <c r="M6" s="215"/>
      <c r="N6" s="215"/>
      <c r="O6" s="215"/>
      <c r="P6" s="87"/>
      <c r="Q6" s="146"/>
      <c r="T6" s="241"/>
      <c r="U6" s="241"/>
      <c r="V6" s="65"/>
      <c r="W6" s="248" t="s">
        <v>363</v>
      </c>
      <c r="X6" s="248" t="s">
        <v>364</v>
      </c>
      <c r="Y6" s="248" t="s">
        <v>365</v>
      </c>
      <c r="Z6" s="248" t="s">
        <v>366</v>
      </c>
      <c r="AA6" s="65"/>
      <c r="AB6" s="248" t="s">
        <v>367</v>
      </c>
      <c r="AC6" s="248" t="s">
        <v>368</v>
      </c>
    </row>
    <row r="7" spans="1:30" ht="45" customHeight="1" x14ac:dyDescent="0.3">
      <c r="E7" s="19"/>
      <c r="F7" s="189" t="s">
        <v>369</v>
      </c>
      <c r="G7" s="168" t="s">
        <v>370</v>
      </c>
      <c r="H7" s="19">
        <v>1</v>
      </c>
      <c r="I7" s="168" t="s">
        <v>371</v>
      </c>
      <c r="J7" s="20">
        <v>1</v>
      </c>
      <c r="K7" s="21"/>
      <c r="L7" s="22"/>
      <c r="M7" s="122"/>
      <c r="N7" s="123"/>
      <c r="O7" s="123"/>
      <c r="P7" s="117"/>
      <c r="Q7" s="117"/>
      <c r="T7" s="241"/>
      <c r="U7" s="241"/>
      <c r="V7" s="65"/>
      <c r="W7" s="248" t="s">
        <v>362</v>
      </c>
      <c r="X7" s="241">
        <v>15</v>
      </c>
      <c r="Y7" s="249"/>
      <c r="Z7" s="241">
        <f>K25</f>
        <v>0</v>
      </c>
      <c r="AA7" s="65"/>
      <c r="AB7" s="242" t="e">
        <f>#REF!</f>
        <v>#REF!</v>
      </c>
      <c r="AC7" s="242" t="e">
        <f>#REF!</f>
        <v>#REF!</v>
      </c>
    </row>
    <row r="8" spans="1:30" ht="45" customHeight="1" x14ac:dyDescent="0.3">
      <c r="E8" s="19"/>
      <c r="F8" s="493" t="s">
        <v>372</v>
      </c>
      <c r="G8" s="504" t="s">
        <v>373</v>
      </c>
      <c r="H8" s="191">
        <v>2</v>
      </c>
      <c r="I8" s="27" t="s">
        <v>374</v>
      </c>
      <c r="J8" s="193" t="s">
        <v>375</v>
      </c>
      <c r="K8" s="25"/>
      <c r="L8" s="22"/>
      <c r="M8" s="122"/>
      <c r="N8" s="123"/>
      <c r="O8" s="123"/>
      <c r="P8" s="117"/>
      <c r="R8" s="250" t="s">
        <v>376</v>
      </c>
      <c r="S8" s="242"/>
      <c r="T8" s="241"/>
      <c r="U8" s="241" t="s">
        <v>286</v>
      </c>
      <c r="V8" s="65"/>
      <c r="W8" s="248" t="s">
        <v>377</v>
      </c>
      <c r="X8" s="241">
        <v>17</v>
      </c>
      <c r="Y8" s="241">
        <f>J45</f>
        <v>17</v>
      </c>
      <c r="Z8" s="241">
        <f>K45</f>
        <v>0</v>
      </c>
      <c r="AA8" s="65"/>
      <c r="AB8" s="242" t="e">
        <f>#REF!</f>
        <v>#REF!</v>
      </c>
      <c r="AC8" s="242" t="e">
        <f>#REF!</f>
        <v>#REF!</v>
      </c>
    </row>
    <row r="9" spans="1:30" ht="45" customHeight="1" x14ac:dyDescent="0.3">
      <c r="E9" s="19"/>
      <c r="F9" s="496"/>
      <c r="G9" s="505"/>
      <c r="H9" s="26">
        <v>2.1</v>
      </c>
      <c r="I9" s="27" t="s">
        <v>378</v>
      </c>
      <c r="J9" s="28">
        <v>1</v>
      </c>
      <c r="K9" s="21"/>
      <c r="L9" s="22" t="str">
        <f>IF(AND(K9&gt;0,$K$8&lt;&gt;$AD$8),"!","")</f>
        <v/>
      </c>
      <c r="M9" s="122"/>
      <c r="N9" s="123"/>
      <c r="O9" s="123"/>
      <c r="P9" s="117"/>
      <c r="R9" s="250" t="s">
        <v>379</v>
      </c>
      <c r="S9" s="242" t="s">
        <v>288</v>
      </c>
      <c r="T9" s="241" t="s">
        <v>289</v>
      </c>
      <c r="U9" s="241" t="s">
        <v>290</v>
      </c>
      <c r="V9" s="65"/>
      <c r="W9" s="248" t="s">
        <v>380</v>
      </c>
      <c r="X9" s="241">
        <v>22</v>
      </c>
      <c r="Y9" s="241">
        <f>J52</f>
        <v>21</v>
      </c>
      <c r="Z9" s="241">
        <f>K52</f>
        <v>0</v>
      </c>
      <c r="AA9" s="65"/>
      <c r="AB9" s="242" t="e">
        <f>#REF!</f>
        <v>#REF!</v>
      </c>
      <c r="AC9" s="242" t="e">
        <f>#REF!</f>
        <v>#REF!</v>
      </c>
    </row>
    <row r="10" spans="1:30" ht="45" customHeight="1" x14ac:dyDescent="0.3">
      <c r="E10" s="19"/>
      <c r="F10" s="496"/>
      <c r="G10" s="505"/>
      <c r="H10" s="26">
        <v>2.2000000000000002</v>
      </c>
      <c r="I10" s="27" t="s">
        <v>381</v>
      </c>
      <c r="J10" s="28">
        <v>1</v>
      </c>
      <c r="K10" s="21"/>
      <c r="L10" s="22" t="str">
        <f t="shared" ref="L10:L17" si="0">IF(AND(K10&gt;0,$K$8&lt;&gt;$AD$8),"!","")</f>
        <v/>
      </c>
      <c r="M10" s="122"/>
      <c r="N10" s="123"/>
      <c r="O10" s="123"/>
      <c r="P10" s="117"/>
      <c r="S10" s="242" t="s">
        <v>292</v>
      </c>
      <c r="T10" s="241" t="s">
        <v>293</v>
      </c>
      <c r="U10" s="65"/>
      <c r="V10" s="65"/>
      <c r="W10" s="248" t="s">
        <v>382</v>
      </c>
      <c r="X10" s="241">
        <v>10</v>
      </c>
      <c r="Y10" s="241">
        <f>J60</f>
        <v>10</v>
      </c>
      <c r="Z10" s="241">
        <f>K60</f>
        <v>0</v>
      </c>
      <c r="AA10" s="65"/>
      <c r="AB10" s="242" t="e">
        <f>#REF!</f>
        <v>#REF!</v>
      </c>
      <c r="AC10" s="242" t="e">
        <f>#REF!</f>
        <v>#REF!</v>
      </c>
    </row>
    <row r="11" spans="1:30" ht="45" customHeight="1" x14ac:dyDescent="0.3">
      <c r="E11" s="19"/>
      <c r="F11" s="496"/>
      <c r="G11" s="505"/>
      <c r="H11" s="26">
        <v>2.2999999999999998</v>
      </c>
      <c r="I11" s="27" t="s">
        <v>383</v>
      </c>
      <c r="J11" s="28">
        <v>1</v>
      </c>
      <c r="K11" s="21"/>
      <c r="L11" s="22" t="str">
        <f t="shared" si="0"/>
        <v/>
      </c>
      <c r="M11" s="122"/>
      <c r="N11" s="123"/>
      <c r="O11" s="123"/>
      <c r="P11" s="117"/>
      <c r="S11" s="242" t="s">
        <v>295</v>
      </c>
      <c r="T11" s="241" t="s">
        <v>296</v>
      </c>
      <c r="U11" s="65"/>
      <c r="V11" s="65"/>
      <c r="W11" s="248" t="s">
        <v>384</v>
      </c>
      <c r="X11" s="241">
        <v>12</v>
      </c>
      <c r="Y11" s="241">
        <f>J69</f>
        <v>6</v>
      </c>
      <c r="Z11" s="241">
        <f>K69</f>
        <v>0</v>
      </c>
      <c r="AA11" s="65"/>
      <c r="AB11" s="242" t="e">
        <f>#REF!</f>
        <v>#REF!</v>
      </c>
      <c r="AC11" s="242" t="e">
        <f>#REF!</f>
        <v>#REF!</v>
      </c>
    </row>
    <row r="12" spans="1:30" ht="45" customHeight="1" x14ac:dyDescent="0.3">
      <c r="E12" s="19"/>
      <c r="F12" s="496"/>
      <c r="G12" s="505"/>
      <c r="H12" s="26">
        <v>2.4</v>
      </c>
      <c r="I12" s="27" t="s">
        <v>385</v>
      </c>
      <c r="J12" s="28">
        <v>1</v>
      </c>
      <c r="K12" s="21"/>
      <c r="L12" s="22" t="str">
        <f t="shared" si="0"/>
        <v/>
      </c>
      <c r="M12" s="122"/>
      <c r="N12" s="123"/>
      <c r="O12" s="123"/>
      <c r="P12" s="117"/>
      <c r="S12" s="242" t="s">
        <v>350</v>
      </c>
      <c r="T12" s="241"/>
      <c r="U12" s="65"/>
      <c r="V12" s="65"/>
      <c r="W12" s="248" t="s">
        <v>386</v>
      </c>
      <c r="X12" s="241">
        <v>14</v>
      </c>
      <c r="Y12" s="241">
        <f>J84</f>
        <v>12</v>
      </c>
      <c r="Z12" s="241">
        <f>K84</f>
        <v>0</v>
      </c>
      <c r="AA12" s="65"/>
      <c r="AB12" s="242" t="e">
        <f>#REF!</f>
        <v>#REF!</v>
      </c>
      <c r="AC12" s="242" t="e">
        <f>#REF!</f>
        <v>#REF!</v>
      </c>
    </row>
    <row r="13" spans="1:30" ht="45" customHeight="1" x14ac:dyDescent="0.3">
      <c r="E13" s="19"/>
      <c r="F13" s="492" t="s">
        <v>387</v>
      </c>
      <c r="G13" s="494" t="s">
        <v>388</v>
      </c>
      <c r="H13" s="19">
        <v>3</v>
      </c>
      <c r="I13" s="168" t="s">
        <v>389</v>
      </c>
      <c r="J13" s="20">
        <v>2</v>
      </c>
      <c r="K13" s="21"/>
      <c r="L13" s="22" t="str">
        <f t="shared" si="0"/>
        <v/>
      </c>
      <c r="M13" s="122"/>
      <c r="N13" s="123"/>
      <c r="O13" s="123"/>
      <c r="P13" s="117"/>
      <c r="T13" s="65"/>
      <c r="U13" s="65"/>
      <c r="V13" s="65"/>
      <c r="W13" s="248" t="s">
        <v>390</v>
      </c>
      <c r="X13" s="241">
        <v>5</v>
      </c>
      <c r="Y13" s="241">
        <f>J92</f>
        <v>5</v>
      </c>
      <c r="Z13" s="241">
        <f>K92</f>
        <v>0</v>
      </c>
      <c r="AA13" s="65"/>
      <c r="AB13" s="242" t="e">
        <f>#REF!</f>
        <v>#REF!</v>
      </c>
      <c r="AC13" s="242" t="e">
        <f>#REF!</f>
        <v>#REF!</v>
      </c>
    </row>
    <row r="14" spans="1:30" ht="76.5" customHeight="1" x14ac:dyDescent="0.3">
      <c r="E14" s="19"/>
      <c r="F14" s="493"/>
      <c r="G14" s="495"/>
      <c r="H14" s="19">
        <v>3.1</v>
      </c>
      <c r="I14" s="168" t="s">
        <v>391</v>
      </c>
      <c r="J14" s="20">
        <v>1</v>
      </c>
      <c r="K14" s="21"/>
      <c r="L14" s="22"/>
      <c r="M14" s="122"/>
      <c r="N14" s="123"/>
      <c r="O14" s="123"/>
      <c r="P14" s="117"/>
      <c r="T14" s="65"/>
      <c r="U14" s="65"/>
      <c r="V14" s="65"/>
      <c r="W14" s="248" t="s">
        <v>392</v>
      </c>
      <c r="X14" s="241">
        <v>5</v>
      </c>
      <c r="Y14" s="241">
        <f>J101</f>
        <v>5</v>
      </c>
      <c r="Z14" s="241">
        <f>K101</f>
        <v>0</v>
      </c>
      <c r="AA14" s="65"/>
      <c r="AB14" s="242" t="e">
        <f>#REF!</f>
        <v>#REF!</v>
      </c>
      <c r="AC14" s="242" t="e">
        <f>#REF!</f>
        <v>#REF!</v>
      </c>
    </row>
    <row r="15" spans="1:30" ht="45" customHeight="1" x14ac:dyDescent="0.3">
      <c r="E15" s="19"/>
      <c r="F15" s="189" t="s">
        <v>393</v>
      </c>
      <c r="G15" s="166" t="s">
        <v>394</v>
      </c>
      <c r="H15" s="19">
        <v>4.0999999999999996</v>
      </c>
      <c r="I15" s="168" t="s">
        <v>393</v>
      </c>
      <c r="J15" s="20">
        <v>1</v>
      </c>
      <c r="K15" s="21"/>
      <c r="L15" s="22" t="str">
        <f t="shared" si="0"/>
        <v/>
      </c>
      <c r="M15" s="122"/>
      <c r="N15" s="123"/>
      <c r="O15" s="123"/>
      <c r="P15" s="117"/>
      <c r="T15" s="65"/>
      <c r="U15" s="65"/>
      <c r="V15" s="65"/>
      <c r="W15" s="248" t="s">
        <v>395</v>
      </c>
      <c r="X15" s="242">
        <f>J112</f>
        <v>100</v>
      </c>
      <c r="Y15" s="251"/>
      <c r="Z15" s="241"/>
      <c r="AA15" s="65"/>
    </row>
    <row r="16" spans="1:30" ht="45" customHeight="1" x14ac:dyDescent="0.3">
      <c r="E16" s="19"/>
      <c r="F16" s="496" t="s">
        <v>396</v>
      </c>
      <c r="G16" s="497" t="s">
        <v>397</v>
      </c>
      <c r="H16" s="19">
        <v>5.0999999999999996</v>
      </c>
      <c r="I16" s="168" t="s">
        <v>398</v>
      </c>
      <c r="J16" s="20">
        <v>1</v>
      </c>
      <c r="K16" s="21"/>
      <c r="L16" s="22" t="str">
        <f t="shared" si="0"/>
        <v/>
      </c>
      <c r="M16" s="122"/>
      <c r="N16" s="123"/>
      <c r="O16" s="123"/>
      <c r="P16" s="117"/>
      <c r="T16" s="65"/>
      <c r="U16" s="65"/>
      <c r="V16" s="65"/>
      <c r="W16" s="248" t="s">
        <v>399</v>
      </c>
      <c r="AB16" s="252" t="e">
        <f>(#REF!/X15)*100</f>
        <v>#REF!</v>
      </c>
      <c r="AC16" s="252" t="e">
        <f>(#REF!/X15)*100</f>
        <v>#REF!</v>
      </c>
      <c r="AD16" s="6" t="s">
        <v>400</v>
      </c>
    </row>
    <row r="17" spans="1:30" ht="45" customHeight="1" x14ac:dyDescent="0.3">
      <c r="E17" s="19"/>
      <c r="F17" s="496"/>
      <c r="G17" s="497"/>
      <c r="H17" s="19">
        <v>5.2</v>
      </c>
      <c r="I17" s="168" t="s">
        <v>401</v>
      </c>
      <c r="J17" s="20">
        <v>1</v>
      </c>
      <c r="K17" s="21"/>
      <c r="L17" s="22" t="str">
        <f t="shared" si="0"/>
        <v/>
      </c>
      <c r="M17" s="122"/>
      <c r="N17" s="123"/>
      <c r="O17" s="123"/>
      <c r="P17" s="117"/>
      <c r="T17" s="65"/>
      <c r="U17" s="65"/>
      <c r="V17" s="65"/>
      <c r="W17" s="248" t="s">
        <v>402</v>
      </c>
      <c r="AB17" s="242" t="e">
        <f>#REF!</f>
        <v>#REF!</v>
      </c>
      <c r="AC17" s="242" t="e">
        <f>#REF!</f>
        <v>#REF!</v>
      </c>
    </row>
    <row r="18" spans="1:30" ht="45" customHeight="1" x14ac:dyDescent="0.3">
      <c r="E18" s="19"/>
      <c r="F18" s="496" t="s">
        <v>403</v>
      </c>
      <c r="G18" s="497" t="s">
        <v>404</v>
      </c>
      <c r="H18" s="19">
        <v>6</v>
      </c>
      <c r="I18" s="168" t="s">
        <v>405</v>
      </c>
      <c r="J18" s="115" t="s">
        <v>375</v>
      </c>
      <c r="K18" s="25"/>
      <c r="L18" s="22"/>
      <c r="M18" s="122"/>
      <c r="N18" s="123"/>
      <c r="O18" s="123"/>
      <c r="P18" s="117"/>
      <c r="T18" s="65"/>
      <c r="U18" s="65"/>
      <c r="V18" s="65"/>
      <c r="W18" s="248" t="s">
        <v>406</v>
      </c>
      <c r="AB18" s="252" t="e">
        <f>AB16+AB17</f>
        <v>#REF!</v>
      </c>
      <c r="AC18" s="252" t="e">
        <f>AC16+AC17</f>
        <v>#REF!</v>
      </c>
      <c r="AD18" s="6" t="s">
        <v>407</v>
      </c>
    </row>
    <row r="19" spans="1:30" ht="45" customHeight="1" x14ac:dyDescent="0.3">
      <c r="E19" s="19"/>
      <c r="F19" s="496"/>
      <c r="G19" s="497"/>
      <c r="H19" s="19">
        <v>6.1</v>
      </c>
      <c r="I19" s="168" t="s">
        <v>408</v>
      </c>
      <c r="J19" s="20">
        <v>1</v>
      </c>
      <c r="K19" s="21"/>
      <c r="L19" s="22" t="str">
        <f>IF(AND(K19&gt;0,$K$18&lt;&gt;$AD$8),"!","")</f>
        <v/>
      </c>
      <c r="M19" s="122"/>
      <c r="N19" s="123"/>
      <c r="O19" s="123"/>
      <c r="P19" s="117"/>
      <c r="T19" s="65"/>
      <c r="U19" s="65"/>
      <c r="V19" s="65"/>
    </row>
    <row r="20" spans="1:30" ht="45" customHeight="1" x14ac:dyDescent="0.3">
      <c r="E20" s="19"/>
      <c r="F20" s="492" t="s">
        <v>409</v>
      </c>
      <c r="G20" s="507" t="s">
        <v>410</v>
      </c>
      <c r="H20" s="19">
        <v>7</v>
      </c>
      <c r="I20" s="168" t="s">
        <v>411</v>
      </c>
      <c r="J20" s="216" t="s">
        <v>375</v>
      </c>
      <c r="K20" s="29"/>
      <c r="L20" s="22"/>
      <c r="M20" s="122"/>
      <c r="N20" s="123"/>
      <c r="O20" s="123"/>
      <c r="P20" s="117"/>
      <c r="T20" s="65"/>
      <c r="U20" s="65"/>
      <c r="V20" s="65"/>
    </row>
    <row r="21" spans="1:30" ht="45" customHeight="1" x14ac:dyDescent="0.3">
      <c r="E21" s="19"/>
      <c r="F21" s="506"/>
      <c r="G21" s="508"/>
      <c r="H21" s="19">
        <v>7.1</v>
      </c>
      <c r="I21" s="168" t="s">
        <v>412</v>
      </c>
      <c r="J21" s="217">
        <v>1</v>
      </c>
      <c r="K21" s="30"/>
      <c r="L21" s="22" t="str">
        <f>IF(AND(K21&gt;0,$K$20&lt;&gt;$AD$8),"!","")</f>
        <v/>
      </c>
      <c r="M21" s="122"/>
      <c r="N21" s="123"/>
      <c r="O21" s="123"/>
      <c r="P21" s="117"/>
      <c r="T21" s="65"/>
      <c r="U21" s="65"/>
      <c r="V21" s="65"/>
    </row>
    <row r="22" spans="1:30" ht="45" customHeight="1" x14ac:dyDescent="0.3">
      <c r="E22" s="19"/>
      <c r="F22" s="493"/>
      <c r="G22" s="509"/>
      <c r="H22" s="19">
        <v>7.2</v>
      </c>
      <c r="I22" s="168" t="s">
        <v>413</v>
      </c>
      <c r="J22" s="217">
        <v>1</v>
      </c>
      <c r="K22" s="30"/>
      <c r="L22" s="22" t="str">
        <f>IF(AND(K22&gt;0,$K$20&lt;&gt;$AD$8),"!","")</f>
        <v/>
      </c>
      <c r="M22" s="122"/>
      <c r="N22" s="123"/>
      <c r="O22" s="123"/>
      <c r="P22" s="117"/>
      <c r="T22" s="65"/>
      <c r="U22" s="65"/>
      <c r="V22" s="65"/>
    </row>
    <row r="23" spans="1:30" ht="45" customHeight="1" x14ac:dyDescent="0.3">
      <c r="E23" s="19"/>
      <c r="F23" s="492" t="s">
        <v>414</v>
      </c>
      <c r="G23" s="510" t="s">
        <v>376</v>
      </c>
      <c r="H23" s="19" t="s">
        <v>415</v>
      </c>
      <c r="I23" s="168" t="s">
        <v>416</v>
      </c>
      <c r="J23" s="217">
        <f>IF(G23=R8,1,"0")</f>
        <v>1</v>
      </c>
      <c r="K23" s="30"/>
      <c r="L23" s="22" t="str">
        <f>IF(AND(K23&gt;0,G23="Prescriptive Pathway"),"!","")</f>
        <v/>
      </c>
      <c r="M23" s="122"/>
      <c r="N23" s="123"/>
      <c r="O23" s="123"/>
      <c r="P23" s="117"/>
    </row>
    <row r="24" spans="1:30" ht="37.5" customHeight="1" x14ac:dyDescent="0.3">
      <c r="E24" s="19"/>
      <c r="F24" s="493"/>
      <c r="G24" s="511"/>
      <c r="H24" s="19" t="s">
        <v>417</v>
      </c>
      <c r="I24" s="168" t="s">
        <v>418</v>
      </c>
      <c r="J24" s="217" t="str">
        <f>IF(G23=R9,1,"0")</f>
        <v>0</v>
      </c>
      <c r="K24" s="30"/>
      <c r="L24" s="22" t="str">
        <f>IF(AND(K24&gt;0,G23="Performance Pathway"),"!","")</f>
        <v/>
      </c>
      <c r="M24" s="122"/>
      <c r="N24" s="123"/>
      <c r="O24" s="123"/>
      <c r="P24" s="117"/>
    </row>
    <row r="25" spans="1:30" ht="45" customHeight="1" x14ac:dyDescent="0.3">
      <c r="E25" s="195"/>
      <c r="F25" s="195" t="s">
        <v>301</v>
      </c>
      <c r="G25" s="195"/>
      <c r="H25" s="196"/>
      <c r="I25" s="195"/>
      <c r="J25" s="196">
        <f>SUM(J7:J24)</f>
        <v>15</v>
      </c>
      <c r="K25" s="196">
        <f>SUM(K7:K24)</f>
        <v>0</v>
      </c>
      <c r="L25" s="22" t="str">
        <f>IF(K25&gt;J25,"!","")</f>
        <v/>
      </c>
      <c r="M25" s="124"/>
      <c r="N25" s="117"/>
      <c r="O25" s="117"/>
      <c r="P25" s="117"/>
    </row>
    <row r="26" spans="1:30" ht="45" customHeight="1" x14ac:dyDescent="0.3">
      <c r="F26" s="34"/>
      <c r="G26" s="35"/>
      <c r="H26" s="36"/>
      <c r="I26" s="37"/>
      <c r="J26" s="38"/>
      <c r="K26" s="39"/>
      <c r="L26" s="18"/>
      <c r="M26" s="125"/>
      <c r="N26" s="117"/>
      <c r="O26" s="117"/>
      <c r="P26" s="117"/>
    </row>
    <row r="27" spans="1:30" ht="45" customHeight="1" x14ac:dyDescent="0.3">
      <c r="E27" s="187"/>
      <c r="F27" s="512" t="s">
        <v>377</v>
      </c>
      <c r="G27" s="512"/>
      <c r="H27" s="512"/>
      <c r="I27" s="512"/>
      <c r="J27" s="97">
        <f>17-SUM(B28:B44)</f>
        <v>17</v>
      </c>
      <c r="K27" s="197"/>
      <c r="L27" s="22"/>
      <c r="M27" s="215"/>
      <c r="N27" s="215"/>
      <c r="O27" s="215"/>
      <c r="P27" s="125"/>
      <c r="Q27" s="124"/>
    </row>
    <row r="28" spans="1:30" ht="45" customHeight="1" x14ac:dyDescent="0.3">
      <c r="A28" s="87">
        <v>1</v>
      </c>
      <c r="B28" s="87">
        <f>IF(C28=TRUE,A28,0)</f>
        <v>0</v>
      </c>
      <c r="C28" s="87" t="b">
        <v>0</v>
      </c>
      <c r="E28" s="19"/>
      <c r="F28" s="485" t="s">
        <v>419</v>
      </c>
      <c r="G28" s="497" t="s">
        <v>420</v>
      </c>
      <c r="H28" s="19">
        <v>9.1</v>
      </c>
      <c r="I28" s="42" t="s">
        <v>421</v>
      </c>
      <c r="J28" s="43">
        <f>IF(C28=FALSE,A28,0)</f>
        <v>1</v>
      </c>
      <c r="K28" s="44"/>
      <c r="L28" s="22"/>
      <c r="M28" s="122"/>
      <c r="N28" s="122"/>
      <c r="O28" s="122"/>
      <c r="P28" s="125"/>
      <c r="Q28" s="124"/>
    </row>
    <row r="29" spans="1:30" ht="45" customHeight="1" x14ac:dyDescent="0.3">
      <c r="A29" s="87">
        <v>2</v>
      </c>
      <c r="B29" s="87">
        <f t="shared" ref="B29:B44" si="1">IF(C29=TRUE,A29,0)</f>
        <v>0</v>
      </c>
      <c r="C29" s="87" t="b">
        <v>0</v>
      </c>
      <c r="E29" s="19"/>
      <c r="F29" s="485"/>
      <c r="G29" s="497"/>
      <c r="H29" s="19">
        <v>9.1999999999999993</v>
      </c>
      <c r="I29" s="42" t="s">
        <v>422</v>
      </c>
      <c r="J29" s="43">
        <f t="shared" ref="J29:J44" si="2">IF(C29=FALSE,A29,0)</f>
        <v>2</v>
      </c>
      <c r="K29" s="44"/>
      <c r="L29" s="22"/>
      <c r="M29" s="122"/>
      <c r="N29" s="122"/>
      <c r="O29" s="122"/>
      <c r="P29" s="125"/>
      <c r="Q29" s="124"/>
    </row>
    <row r="30" spans="1:30" ht="45" customHeight="1" x14ac:dyDescent="0.3">
      <c r="A30" s="87">
        <v>1</v>
      </c>
      <c r="B30" s="87">
        <f t="shared" si="1"/>
        <v>0</v>
      </c>
      <c r="C30" s="87" t="b">
        <v>0</v>
      </c>
      <c r="E30" s="19"/>
      <c r="F30" s="485"/>
      <c r="G30" s="497"/>
      <c r="H30" s="19">
        <v>9.3000000000000007</v>
      </c>
      <c r="I30" s="42" t="s">
        <v>423</v>
      </c>
      <c r="J30" s="43">
        <f t="shared" si="2"/>
        <v>1</v>
      </c>
      <c r="K30" s="44"/>
      <c r="L30" s="22"/>
      <c r="M30" s="122"/>
      <c r="N30" s="122"/>
      <c r="O30" s="122"/>
      <c r="P30" s="125"/>
      <c r="Q30" s="124"/>
    </row>
    <row r="31" spans="1:30" ht="45" customHeight="1" x14ac:dyDescent="0.3">
      <c r="A31" s="87">
        <v>1</v>
      </c>
      <c r="B31" s="87">
        <f t="shared" si="1"/>
        <v>0</v>
      </c>
      <c r="C31" s="87" t="b">
        <v>0</v>
      </c>
      <c r="E31" s="19"/>
      <c r="F31" s="485" t="s">
        <v>305</v>
      </c>
      <c r="G31" s="497" t="s">
        <v>424</v>
      </c>
      <c r="H31" s="19">
        <v>10.1</v>
      </c>
      <c r="I31" s="42" t="s">
        <v>425</v>
      </c>
      <c r="J31" s="43">
        <f t="shared" si="2"/>
        <v>1</v>
      </c>
      <c r="K31" s="44"/>
      <c r="L31" s="22"/>
      <c r="M31" s="122"/>
      <c r="N31" s="122"/>
      <c r="O31" s="122"/>
      <c r="P31" s="125"/>
      <c r="Q31" s="124"/>
    </row>
    <row r="32" spans="1:30" ht="45" customHeight="1" x14ac:dyDescent="0.3">
      <c r="A32" s="87">
        <v>1</v>
      </c>
      <c r="B32" s="87">
        <f t="shared" si="1"/>
        <v>0</v>
      </c>
      <c r="C32" s="87" t="b">
        <v>0</v>
      </c>
      <c r="E32" s="19"/>
      <c r="F32" s="485"/>
      <c r="G32" s="497"/>
      <c r="H32" s="19">
        <v>10.199999999999999</v>
      </c>
      <c r="I32" s="42" t="s">
        <v>426</v>
      </c>
      <c r="J32" s="43">
        <f t="shared" si="2"/>
        <v>1</v>
      </c>
      <c r="K32" s="44"/>
      <c r="L32" s="22"/>
      <c r="M32" s="122"/>
      <c r="N32" s="122"/>
      <c r="O32" s="122"/>
      <c r="P32" s="125"/>
      <c r="Q32" s="124"/>
    </row>
    <row r="33" spans="1:17" ht="45" customHeight="1" x14ac:dyDescent="0.3">
      <c r="A33" s="87">
        <v>1</v>
      </c>
      <c r="B33" s="87">
        <f t="shared" si="1"/>
        <v>0</v>
      </c>
      <c r="C33" s="87" t="b">
        <v>0</v>
      </c>
      <c r="E33" s="19"/>
      <c r="F33" s="485"/>
      <c r="G33" s="497"/>
      <c r="H33" s="19">
        <v>10.3</v>
      </c>
      <c r="I33" s="42" t="s">
        <v>427</v>
      </c>
      <c r="J33" s="43">
        <f t="shared" si="2"/>
        <v>1</v>
      </c>
      <c r="K33" s="44"/>
      <c r="L33" s="22"/>
      <c r="M33" s="122"/>
      <c r="N33" s="122"/>
      <c r="O33" s="122"/>
      <c r="P33" s="125"/>
      <c r="Q33" s="124"/>
    </row>
    <row r="34" spans="1:17" ht="45" customHeight="1" x14ac:dyDescent="0.3">
      <c r="E34" s="19"/>
      <c r="F34" s="485" t="s">
        <v>428</v>
      </c>
      <c r="G34" s="497" t="s">
        <v>429</v>
      </c>
      <c r="H34" s="19">
        <v>11</v>
      </c>
      <c r="I34" s="42" t="s">
        <v>430</v>
      </c>
      <c r="J34" s="170" t="s">
        <v>375</v>
      </c>
      <c r="K34" s="44"/>
      <c r="L34" s="22"/>
      <c r="M34" s="122"/>
      <c r="N34" s="122"/>
      <c r="O34" s="122"/>
      <c r="P34" s="125"/>
      <c r="Q34" s="124"/>
    </row>
    <row r="35" spans="1:17" ht="45" customHeight="1" x14ac:dyDescent="0.3">
      <c r="A35" s="87">
        <v>1</v>
      </c>
      <c r="B35" s="87">
        <f t="shared" si="1"/>
        <v>0</v>
      </c>
      <c r="C35" s="87" t="b">
        <v>0</v>
      </c>
      <c r="E35" s="19"/>
      <c r="F35" s="485"/>
      <c r="G35" s="497"/>
      <c r="H35" s="19">
        <v>11.1</v>
      </c>
      <c r="I35" s="42" t="s">
        <v>431</v>
      </c>
      <c r="J35" s="43">
        <f t="shared" si="2"/>
        <v>1</v>
      </c>
      <c r="K35" s="44"/>
      <c r="L35" s="22" t="str">
        <f>IF(AND(K35&gt;0,$K$34&lt;&gt;$AD$8),"!","")</f>
        <v/>
      </c>
      <c r="M35" s="122"/>
      <c r="N35" s="122"/>
      <c r="O35" s="122"/>
      <c r="P35" s="125"/>
      <c r="Q35" s="124"/>
    </row>
    <row r="36" spans="1:17" ht="45" customHeight="1" x14ac:dyDescent="0.3">
      <c r="A36" s="87">
        <v>1</v>
      </c>
      <c r="B36" s="87">
        <f t="shared" si="1"/>
        <v>0</v>
      </c>
      <c r="C36" s="87" t="b">
        <v>0</v>
      </c>
      <c r="E36" s="19"/>
      <c r="F36" s="485"/>
      <c r="G36" s="497"/>
      <c r="H36" s="19">
        <v>11.2</v>
      </c>
      <c r="I36" s="42" t="s">
        <v>432</v>
      </c>
      <c r="J36" s="43">
        <f t="shared" si="2"/>
        <v>1</v>
      </c>
      <c r="K36" s="44"/>
      <c r="L36" s="22" t="str">
        <f>IF(AND(K36&gt;0,$K$34&lt;&gt;$AD$8),"!","")</f>
        <v/>
      </c>
      <c r="M36" s="122"/>
      <c r="N36" s="122"/>
      <c r="O36" s="122"/>
      <c r="P36" s="125"/>
      <c r="Q36" s="124"/>
    </row>
    <row r="37" spans="1:17" ht="45" customHeight="1" x14ac:dyDescent="0.3">
      <c r="A37" s="87">
        <v>1</v>
      </c>
      <c r="B37" s="87">
        <f t="shared" si="1"/>
        <v>0</v>
      </c>
      <c r="C37" s="87" t="b">
        <v>0</v>
      </c>
      <c r="E37" s="19"/>
      <c r="F37" s="485"/>
      <c r="G37" s="497"/>
      <c r="H37" s="19">
        <v>11.3</v>
      </c>
      <c r="I37" s="42" t="s">
        <v>433</v>
      </c>
      <c r="J37" s="43">
        <f t="shared" si="2"/>
        <v>1</v>
      </c>
      <c r="K37" s="44"/>
      <c r="L37" s="22" t="str">
        <f>IF(AND(K37&gt;0,$K$34&lt;&gt;$AD$8),"!","")</f>
        <v/>
      </c>
      <c r="M37" s="122"/>
      <c r="N37" s="122"/>
      <c r="O37" s="122"/>
      <c r="P37" s="125"/>
      <c r="Q37" s="124"/>
    </row>
    <row r="38" spans="1:17" ht="45" customHeight="1" x14ac:dyDescent="0.3">
      <c r="E38" s="19"/>
      <c r="F38" s="485" t="s">
        <v>434</v>
      </c>
      <c r="G38" s="497" t="s">
        <v>435</v>
      </c>
      <c r="H38" s="19">
        <v>12</v>
      </c>
      <c r="I38" s="42" t="s">
        <v>436</v>
      </c>
      <c r="J38" s="170" t="s">
        <v>375</v>
      </c>
      <c r="K38" s="44"/>
      <c r="L38" s="22"/>
      <c r="M38" s="122"/>
      <c r="N38" s="122"/>
      <c r="O38" s="122"/>
      <c r="P38" s="125"/>
      <c r="Q38" s="124"/>
    </row>
    <row r="39" spans="1:17" ht="45" customHeight="1" x14ac:dyDescent="0.3">
      <c r="A39" s="87">
        <v>2</v>
      </c>
      <c r="B39" s="87">
        <f t="shared" si="1"/>
        <v>0</v>
      </c>
      <c r="C39" s="87" t="b">
        <v>0</v>
      </c>
      <c r="E39" s="19"/>
      <c r="F39" s="485"/>
      <c r="G39" s="497"/>
      <c r="H39" s="19">
        <v>12.1</v>
      </c>
      <c r="I39" s="42" t="s">
        <v>437</v>
      </c>
      <c r="J39" s="43">
        <f t="shared" si="2"/>
        <v>2</v>
      </c>
      <c r="K39" s="44"/>
      <c r="L39" s="22" t="str">
        <f>IF(AND(K39&gt;0,$K$38&lt;&gt;$AD$8),"!","")</f>
        <v/>
      </c>
      <c r="M39" s="122"/>
      <c r="N39" s="122"/>
      <c r="O39" s="122"/>
      <c r="P39" s="125"/>
      <c r="Q39" s="124"/>
    </row>
    <row r="40" spans="1:17" ht="45" customHeight="1" x14ac:dyDescent="0.3">
      <c r="A40" s="87">
        <v>1</v>
      </c>
      <c r="B40" s="87">
        <f t="shared" si="1"/>
        <v>0</v>
      </c>
      <c r="C40" s="87" t="b">
        <v>0</v>
      </c>
      <c r="E40" s="19"/>
      <c r="F40" s="485"/>
      <c r="G40" s="497"/>
      <c r="H40" s="19">
        <v>12.2</v>
      </c>
      <c r="I40" s="42" t="s">
        <v>438</v>
      </c>
      <c r="J40" s="43">
        <f t="shared" si="2"/>
        <v>1</v>
      </c>
      <c r="K40" s="44"/>
      <c r="L40" s="22" t="str">
        <f>IF(AND(K40&gt;0,$K$38&lt;&gt;$AD$8),"!","")</f>
        <v/>
      </c>
      <c r="M40" s="122"/>
      <c r="N40" s="122"/>
      <c r="O40" s="122"/>
      <c r="P40" s="125"/>
      <c r="Q40" s="124"/>
    </row>
    <row r="41" spans="1:17" ht="45" customHeight="1" x14ac:dyDescent="0.3">
      <c r="A41" s="87">
        <v>1</v>
      </c>
      <c r="B41" s="87">
        <f t="shared" si="1"/>
        <v>0</v>
      </c>
      <c r="C41" s="87" t="b">
        <v>0</v>
      </c>
      <c r="E41" s="19"/>
      <c r="F41" s="485" t="s">
        <v>439</v>
      </c>
      <c r="G41" s="497" t="s">
        <v>440</v>
      </c>
      <c r="H41" s="19">
        <v>13.1</v>
      </c>
      <c r="I41" s="42" t="s">
        <v>441</v>
      </c>
      <c r="J41" s="43">
        <f t="shared" si="2"/>
        <v>1</v>
      </c>
      <c r="K41" s="44"/>
      <c r="L41" s="22"/>
      <c r="M41" s="122"/>
      <c r="N41" s="122"/>
      <c r="O41" s="122"/>
      <c r="P41" s="125"/>
      <c r="Q41" s="124"/>
    </row>
    <row r="42" spans="1:17" ht="45" customHeight="1" x14ac:dyDescent="0.3">
      <c r="A42" s="87">
        <v>1</v>
      </c>
      <c r="B42" s="87">
        <f t="shared" si="1"/>
        <v>0</v>
      </c>
      <c r="C42" s="87" t="b">
        <v>0</v>
      </c>
      <c r="E42" s="19"/>
      <c r="F42" s="485"/>
      <c r="G42" s="497"/>
      <c r="H42" s="19">
        <v>13.2</v>
      </c>
      <c r="I42" s="42" t="s">
        <v>442</v>
      </c>
      <c r="J42" s="43">
        <f t="shared" si="2"/>
        <v>1</v>
      </c>
      <c r="K42" s="44"/>
      <c r="L42" s="22"/>
      <c r="M42" s="122"/>
      <c r="N42" s="122"/>
      <c r="O42" s="122"/>
      <c r="P42" s="125"/>
      <c r="Q42" s="124"/>
    </row>
    <row r="43" spans="1:17" ht="45" customHeight="1" x14ac:dyDescent="0.3">
      <c r="A43" s="87">
        <v>1</v>
      </c>
      <c r="B43" s="87">
        <f t="shared" si="1"/>
        <v>0</v>
      </c>
      <c r="C43" s="87" t="b">
        <v>0</v>
      </c>
      <c r="E43" s="19"/>
      <c r="F43" s="485" t="s">
        <v>443</v>
      </c>
      <c r="G43" s="497" t="s">
        <v>444</v>
      </c>
      <c r="H43" s="19">
        <v>14.1</v>
      </c>
      <c r="I43" s="42" t="s">
        <v>443</v>
      </c>
      <c r="J43" s="43">
        <f t="shared" si="2"/>
        <v>1</v>
      </c>
      <c r="K43" s="44"/>
      <c r="L43" s="22"/>
      <c r="M43" s="122"/>
      <c r="N43" s="122"/>
      <c r="O43" s="122"/>
      <c r="P43" s="125"/>
      <c r="Q43" s="124"/>
    </row>
    <row r="44" spans="1:17" ht="45" customHeight="1" x14ac:dyDescent="0.3">
      <c r="A44" s="87">
        <v>1</v>
      </c>
      <c r="B44" s="87">
        <f t="shared" si="1"/>
        <v>0</v>
      </c>
      <c r="C44" s="87" t="b">
        <v>0</v>
      </c>
      <c r="E44" s="19"/>
      <c r="F44" s="486"/>
      <c r="G44" s="507"/>
      <c r="H44" s="19">
        <v>14.2</v>
      </c>
      <c r="I44" s="42" t="s">
        <v>445</v>
      </c>
      <c r="J44" s="43">
        <f t="shared" si="2"/>
        <v>1</v>
      </c>
      <c r="K44" s="44"/>
      <c r="L44" s="22"/>
      <c r="M44" s="122"/>
      <c r="N44" s="122"/>
      <c r="O44" s="122"/>
      <c r="P44" s="117"/>
    </row>
    <row r="45" spans="1:17" ht="45" customHeight="1" x14ac:dyDescent="0.3">
      <c r="E45" s="195"/>
      <c r="F45" s="195" t="s">
        <v>301</v>
      </c>
      <c r="G45" s="195"/>
      <c r="H45" s="196"/>
      <c r="I45" s="195"/>
      <c r="J45" s="196">
        <f>SUM(J28:J44)</f>
        <v>17</v>
      </c>
      <c r="K45" s="196">
        <f>SUM(K28:K44)</f>
        <v>0</v>
      </c>
      <c r="L45" s="22" t="str">
        <f>IF(K45&gt;J45,"!","")</f>
        <v/>
      </c>
      <c r="M45" s="124"/>
      <c r="N45" s="117"/>
      <c r="O45" s="117"/>
      <c r="P45" s="117"/>
    </row>
    <row r="46" spans="1:17" ht="45" customHeight="1" x14ac:dyDescent="0.3">
      <c r="F46" s="45"/>
      <c r="G46" s="45"/>
      <c r="H46" s="1"/>
      <c r="I46" s="45"/>
      <c r="J46" s="1"/>
      <c r="K46" s="1"/>
      <c r="L46" s="46"/>
      <c r="M46" s="126"/>
      <c r="N46" s="117"/>
      <c r="O46" s="117"/>
      <c r="P46" s="117"/>
    </row>
    <row r="47" spans="1:17" ht="45" customHeight="1" x14ac:dyDescent="0.3">
      <c r="E47" s="187"/>
      <c r="F47" s="520" t="s">
        <v>380</v>
      </c>
      <c r="G47" s="520"/>
      <c r="H47" s="520"/>
      <c r="I47" s="520"/>
      <c r="J47" s="197">
        <f>22-SUM(B48:B51)</f>
        <v>22</v>
      </c>
      <c r="K47" s="197"/>
      <c r="L47" s="47"/>
      <c r="M47" s="215"/>
      <c r="N47" s="215"/>
      <c r="O47" s="215"/>
      <c r="P47" s="125"/>
      <c r="Q47" s="124"/>
    </row>
    <row r="48" spans="1:17" ht="45" customHeight="1" x14ac:dyDescent="0.3">
      <c r="E48" s="19"/>
      <c r="F48" s="489" t="s">
        <v>446</v>
      </c>
      <c r="G48" s="497" t="s">
        <v>447</v>
      </c>
      <c r="H48" s="93" t="s">
        <v>448</v>
      </c>
      <c r="I48" s="111" t="s">
        <v>449</v>
      </c>
      <c r="J48" s="171" t="s">
        <v>450</v>
      </c>
      <c r="K48" s="60"/>
      <c r="L48" s="22"/>
      <c r="M48" s="122"/>
      <c r="N48" s="122"/>
      <c r="O48" s="122"/>
      <c r="P48" s="125"/>
      <c r="Q48" s="124"/>
    </row>
    <row r="49" spans="1:18" ht="45" customHeight="1" x14ac:dyDescent="0.3">
      <c r="E49" s="19"/>
      <c r="F49" s="490"/>
      <c r="G49" s="507"/>
      <c r="H49" s="93" t="s">
        <v>451</v>
      </c>
      <c r="I49" s="98" t="s">
        <v>452</v>
      </c>
      <c r="J49" s="67">
        <v>20</v>
      </c>
      <c r="K49" s="60"/>
      <c r="L49" s="22" t="str">
        <f>IF(AND(K49&gt;0,K48&lt;&gt;$AD$8),"!","")</f>
        <v/>
      </c>
      <c r="M49" s="122"/>
      <c r="N49" s="122"/>
      <c r="O49" s="122"/>
      <c r="P49" s="125"/>
      <c r="Q49" s="124"/>
    </row>
    <row r="50" spans="1:18" ht="45" customHeight="1" x14ac:dyDescent="0.3">
      <c r="E50" s="19"/>
      <c r="F50" s="485" t="s">
        <v>453</v>
      </c>
      <c r="G50" s="487" t="s">
        <v>379</v>
      </c>
      <c r="H50" s="94" t="s">
        <v>454</v>
      </c>
      <c r="I50" s="99" t="s">
        <v>455</v>
      </c>
      <c r="J50" s="66">
        <f>IF(G50=R62,1,"0")</f>
        <v>1</v>
      </c>
      <c r="K50" s="60"/>
      <c r="L50" s="18"/>
      <c r="M50" s="122"/>
      <c r="N50" s="122"/>
      <c r="O50" s="122"/>
      <c r="P50" s="125"/>
      <c r="Q50" s="124"/>
    </row>
    <row r="51" spans="1:18" ht="45" customHeight="1" x14ac:dyDescent="0.3">
      <c r="E51" s="19"/>
      <c r="F51" s="486"/>
      <c r="G51" s="488"/>
      <c r="H51" s="199" t="s">
        <v>456</v>
      </c>
      <c r="I51" s="200" t="s">
        <v>457</v>
      </c>
      <c r="J51" s="218" t="str">
        <f>IF(G50=R63,2,"0")</f>
        <v>0</v>
      </c>
      <c r="K51" s="63"/>
      <c r="L51" s="50"/>
      <c r="M51" s="122"/>
      <c r="N51" s="122"/>
      <c r="O51" s="122"/>
      <c r="P51" s="125"/>
      <c r="Q51" s="124"/>
    </row>
    <row r="52" spans="1:18" ht="45" customHeight="1" x14ac:dyDescent="0.3">
      <c r="E52" s="195"/>
      <c r="F52" s="195" t="s">
        <v>301</v>
      </c>
      <c r="G52" s="195"/>
      <c r="H52" s="196"/>
      <c r="I52" s="195"/>
      <c r="J52" s="196">
        <f>SUM(J48:J51)</f>
        <v>21</v>
      </c>
      <c r="K52" s="196">
        <f>SUM(K48:K51)</f>
        <v>0</v>
      </c>
      <c r="L52" s="22" t="str">
        <f>IF(K52&gt;J52,"!","")</f>
        <v/>
      </c>
      <c r="M52" s="124"/>
      <c r="N52" s="117"/>
      <c r="O52" s="117"/>
      <c r="P52" s="125"/>
      <c r="Q52" s="124"/>
    </row>
    <row r="53" spans="1:18" ht="45" customHeight="1" x14ac:dyDescent="0.3">
      <c r="L53" s="54"/>
      <c r="M53" s="127"/>
      <c r="N53" s="117"/>
      <c r="O53" s="117"/>
      <c r="P53" s="125"/>
      <c r="Q53" s="124"/>
    </row>
    <row r="54" spans="1:18" ht="45" customHeight="1" x14ac:dyDescent="0.3">
      <c r="E54" s="187"/>
      <c r="F54" s="198" t="s">
        <v>382</v>
      </c>
      <c r="G54" s="201"/>
      <c r="H54" s="202"/>
      <c r="I54" s="201"/>
      <c r="J54" s="197">
        <f>10-SUM(B55:B59)</f>
        <v>10</v>
      </c>
      <c r="K54" s="197"/>
      <c r="L54" s="18"/>
      <c r="M54" s="215"/>
      <c r="N54" s="215"/>
      <c r="O54" s="215"/>
      <c r="P54" s="125"/>
      <c r="Q54" s="124"/>
    </row>
    <row r="55" spans="1:18" ht="45" customHeight="1" x14ac:dyDescent="0.3">
      <c r="E55" s="19"/>
      <c r="F55" s="489" t="s">
        <v>458</v>
      </c>
      <c r="G55" s="491" t="s">
        <v>459</v>
      </c>
      <c r="H55" s="93" t="s">
        <v>460</v>
      </c>
      <c r="I55" s="98" t="s">
        <v>461</v>
      </c>
      <c r="J55" s="67">
        <v>4</v>
      </c>
      <c r="K55" s="60"/>
      <c r="L55" s="50"/>
      <c r="M55" s="122"/>
      <c r="N55" s="122"/>
      <c r="O55" s="122"/>
      <c r="P55" s="125"/>
      <c r="Q55" s="124"/>
    </row>
    <row r="56" spans="1:18" ht="45" customHeight="1" x14ac:dyDescent="0.3">
      <c r="A56" s="87">
        <v>1</v>
      </c>
      <c r="B56" s="87">
        <f>IF((C56=TRUE),1,0)</f>
        <v>0</v>
      </c>
      <c r="C56" s="87" t="b">
        <v>0</v>
      </c>
      <c r="E56" s="19"/>
      <c r="F56" s="489"/>
      <c r="G56" s="489"/>
      <c r="H56" s="93" t="s">
        <v>462</v>
      </c>
      <c r="I56" s="98" t="s">
        <v>463</v>
      </c>
      <c r="J56" s="67">
        <f>IF(C56=TRUE,0,1)</f>
        <v>1</v>
      </c>
      <c r="K56" s="60"/>
      <c r="L56" s="50"/>
      <c r="M56" s="122"/>
      <c r="N56" s="122"/>
      <c r="O56" s="122"/>
      <c r="P56" s="125"/>
      <c r="Q56" s="124"/>
    </row>
    <row r="57" spans="1:18" ht="45" customHeight="1" x14ac:dyDescent="0.3">
      <c r="A57" s="87">
        <v>2</v>
      </c>
      <c r="B57" s="87">
        <f>IF((C57=TRUE),2,0)</f>
        <v>0</v>
      </c>
      <c r="C57" s="87" t="b">
        <v>0</v>
      </c>
      <c r="E57" s="19"/>
      <c r="F57" s="489"/>
      <c r="G57" s="489"/>
      <c r="H57" s="93" t="s">
        <v>464</v>
      </c>
      <c r="I57" s="98" t="s">
        <v>465</v>
      </c>
      <c r="J57" s="67">
        <f>IF(C57=TRUE,0,2)</f>
        <v>2</v>
      </c>
      <c r="K57" s="60"/>
      <c r="L57" s="50"/>
      <c r="M57" s="122"/>
      <c r="N57" s="122"/>
      <c r="O57" s="122"/>
      <c r="P57" s="125"/>
      <c r="Q57" s="124"/>
    </row>
    <row r="58" spans="1:18" ht="45" customHeight="1" x14ac:dyDescent="0.3">
      <c r="E58" s="19"/>
      <c r="F58" s="489"/>
      <c r="G58" s="489"/>
      <c r="H58" s="93" t="s">
        <v>466</v>
      </c>
      <c r="I58" s="98" t="s">
        <v>467</v>
      </c>
      <c r="J58" s="67">
        <v>2</v>
      </c>
      <c r="K58" s="60"/>
      <c r="L58" s="50"/>
      <c r="M58" s="122"/>
      <c r="N58" s="122"/>
      <c r="O58" s="122"/>
      <c r="P58" s="125"/>
      <c r="Q58" s="124"/>
    </row>
    <row r="59" spans="1:18" ht="45" customHeight="1" x14ac:dyDescent="0.3">
      <c r="E59" s="19"/>
      <c r="F59" s="490"/>
      <c r="G59" s="490"/>
      <c r="H59" s="93" t="s">
        <v>468</v>
      </c>
      <c r="I59" s="98" t="s">
        <v>469</v>
      </c>
      <c r="J59" s="67">
        <v>1</v>
      </c>
      <c r="K59" s="60"/>
      <c r="L59" s="50"/>
      <c r="M59" s="122"/>
      <c r="N59" s="122"/>
      <c r="O59" s="122"/>
      <c r="P59" s="125"/>
      <c r="Q59" s="124"/>
    </row>
    <row r="60" spans="1:18" ht="45" customHeight="1" x14ac:dyDescent="0.3">
      <c r="E60" s="195"/>
      <c r="F60" s="195" t="s">
        <v>301</v>
      </c>
      <c r="G60" s="195"/>
      <c r="H60" s="196"/>
      <c r="I60" s="195"/>
      <c r="J60" s="196">
        <f>SUM(J55:J59)</f>
        <v>10</v>
      </c>
      <c r="K60" s="196">
        <f>SUM(K55:K59)</f>
        <v>0</v>
      </c>
      <c r="L60" s="22" t="str">
        <f>IF(K60&gt;J60,"!","")</f>
        <v/>
      </c>
      <c r="M60" s="124"/>
      <c r="N60" s="117"/>
      <c r="O60" s="117"/>
      <c r="P60" s="125"/>
      <c r="Q60" s="124"/>
    </row>
    <row r="61" spans="1:18" ht="45" customHeight="1" x14ac:dyDescent="0.3">
      <c r="L61" s="54"/>
      <c r="M61" s="127"/>
      <c r="P61" s="125"/>
      <c r="Q61" s="124"/>
    </row>
    <row r="62" spans="1:18" ht="45" customHeight="1" x14ac:dyDescent="0.3">
      <c r="E62" s="187"/>
      <c r="F62" s="198" t="s">
        <v>384</v>
      </c>
      <c r="G62" s="201"/>
      <c r="H62" s="202"/>
      <c r="I62" s="201"/>
      <c r="J62" s="197">
        <f>12-SUM(B63:B68)</f>
        <v>12</v>
      </c>
      <c r="K62" s="197"/>
      <c r="L62" s="18"/>
      <c r="M62" s="215"/>
      <c r="N62" s="215"/>
      <c r="O62" s="215"/>
      <c r="P62" s="125"/>
      <c r="Q62" s="124"/>
      <c r="R62" s="24" t="s">
        <v>379</v>
      </c>
    </row>
    <row r="63" spans="1:18" ht="45" customHeight="1" x14ac:dyDescent="0.3">
      <c r="E63" s="19"/>
      <c r="F63" s="513" t="s">
        <v>470</v>
      </c>
      <c r="G63" s="514" t="s">
        <v>379</v>
      </c>
      <c r="H63" s="93" t="s">
        <v>471</v>
      </c>
      <c r="I63" s="98" t="s">
        <v>472</v>
      </c>
      <c r="J63" s="67">
        <f>IF(G63=R67,12,0)</f>
        <v>0</v>
      </c>
      <c r="K63" s="60"/>
      <c r="L63" s="50"/>
      <c r="M63" s="122"/>
      <c r="N63" s="122"/>
      <c r="O63" s="122"/>
      <c r="P63" s="125"/>
      <c r="Q63" s="124"/>
      <c r="R63" s="6" t="s">
        <v>376</v>
      </c>
    </row>
    <row r="64" spans="1:18" ht="45" customHeight="1" x14ac:dyDescent="0.3">
      <c r="E64" s="19"/>
      <c r="F64" s="485"/>
      <c r="G64" s="515"/>
      <c r="H64" s="93" t="s">
        <v>473</v>
      </c>
      <c r="I64" s="98" t="s">
        <v>474</v>
      </c>
      <c r="J64" s="67">
        <f>IF($G$63=$R$68,1,0)</f>
        <v>1</v>
      </c>
      <c r="K64" s="60"/>
      <c r="L64" s="50"/>
      <c r="M64" s="122"/>
      <c r="N64" s="122"/>
      <c r="O64" s="122"/>
      <c r="P64" s="117"/>
      <c r="Q64" s="117"/>
    </row>
    <row r="65" spans="1:18" ht="45" customHeight="1" x14ac:dyDescent="0.3">
      <c r="E65" s="19"/>
      <c r="F65" s="485"/>
      <c r="G65" s="515"/>
      <c r="H65" s="93" t="s">
        <v>475</v>
      </c>
      <c r="I65" s="98" t="s">
        <v>476</v>
      </c>
      <c r="J65" s="67">
        <f>IF($G$63=$R$68,1,0)</f>
        <v>1</v>
      </c>
      <c r="K65" s="60"/>
      <c r="L65" s="50"/>
      <c r="M65" s="122"/>
      <c r="N65" s="122"/>
      <c r="O65" s="122"/>
      <c r="P65" s="117"/>
      <c r="Q65" s="117"/>
    </row>
    <row r="66" spans="1:18" ht="45" customHeight="1" x14ac:dyDescent="0.3">
      <c r="E66" s="19"/>
      <c r="F66" s="485"/>
      <c r="G66" s="515"/>
      <c r="H66" s="93" t="s">
        <v>477</v>
      </c>
      <c r="I66" s="98" t="s">
        <v>478</v>
      </c>
      <c r="J66" s="67">
        <f>IF($G$63=$R$68,2,0)</f>
        <v>2</v>
      </c>
      <c r="K66" s="60"/>
      <c r="L66" s="50"/>
      <c r="M66" s="122"/>
      <c r="N66" s="122"/>
      <c r="O66" s="122"/>
      <c r="P66" s="169"/>
    </row>
    <row r="67" spans="1:18" ht="45" customHeight="1" x14ac:dyDescent="0.3">
      <c r="A67" s="87">
        <v>1</v>
      </c>
      <c r="B67" s="87">
        <f>IF(AND($G$63=$R$68,C67=TRUE),1,0)</f>
        <v>0</v>
      </c>
      <c r="C67" s="87" t="b">
        <v>0</v>
      </c>
      <c r="E67" s="19"/>
      <c r="F67" s="485"/>
      <c r="G67" s="515"/>
      <c r="H67" s="93" t="s">
        <v>479</v>
      </c>
      <c r="I67" s="98" t="s">
        <v>480</v>
      </c>
      <c r="J67" s="67">
        <f>IF(OR($G$63=$R$67,C67=TRUE),0,1)</f>
        <v>1</v>
      </c>
      <c r="K67" s="60"/>
      <c r="L67" s="50"/>
      <c r="M67" s="122"/>
      <c r="N67" s="122"/>
      <c r="O67" s="122"/>
      <c r="P67" s="125"/>
      <c r="Q67" s="124"/>
      <c r="R67" s="24" t="s">
        <v>376</v>
      </c>
    </row>
    <row r="68" spans="1:18" ht="45" customHeight="1" x14ac:dyDescent="0.3">
      <c r="A68" s="87">
        <v>1</v>
      </c>
      <c r="B68" s="87">
        <f>IF(AND($G$63=$R$68,C68=TRUE),1,0)</f>
        <v>0</v>
      </c>
      <c r="C68" s="87" t="b">
        <v>0</v>
      </c>
      <c r="E68" s="19"/>
      <c r="F68" s="486"/>
      <c r="G68" s="516"/>
      <c r="H68" s="93" t="s">
        <v>481</v>
      </c>
      <c r="I68" s="98" t="s">
        <v>482</v>
      </c>
      <c r="J68" s="67">
        <f>IF(OR($G$63=$R$67,C68=TRUE),0,1)</f>
        <v>1</v>
      </c>
      <c r="K68" s="60"/>
      <c r="L68" s="50"/>
      <c r="M68" s="122"/>
      <c r="N68" s="122"/>
      <c r="O68" s="122"/>
      <c r="P68" s="125"/>
      <c r="Q68" s="124"/>
      <c r="R68" s="24" t="s">
        <v>379</v>
      </c>
    </row>
    <row r="69" spans="1:18" ht="45" customHeight="1" x14ac:dyDescent="0.3">
      <c r="E69" s="195"/>
      <c r="F69" s="195" t="s">
        <v>301</v>
      </c>
      <c r="G69" s="195"/>
      <c r="H69" s="196"/>
      <c r="I69" s="195"/>
      <c r="J69" s="196">
        <f>SUM(J63:J68)</f>
        <v>6</v>
      </c>
      <c r="K69" s="196">
        <f>SUM(K63:K68)</f>
        <v>0</v>
      </c>
      <c r="L69" s="22" t="str">
        <f>IF(K69&gt;J69,"!","")</f>
        <v/>
      </c>
      <c r="M69" s="124"/>
      <c r="N69" s="117"/>
      <c r="O69" s="117"/>
      <c r="P69" s="125"/>
      <c r="Q69" s="124"/>
    </row>
    <row r="70" spans="1:18" ht="45" customHeight="1" x14ac:dyDescent="0.3">
      <c r="L70" s="54"/>
      <c r="M70" s="127"/>
      <c r="P70" s="125"/>
      <c r="Q70" s="124"/>
    </row>
    <row r="71" spans="1:18" ht="45" customHeight="1" x14ac:dyDescent="0.3">
      <c r="E71" s="187"/>
      <c r="F71" s="198" t="s">
        <v>386</v>
      </c>
      <c r="G71" s="201"/>
      <c r="H71" s="197"/>
      <c r="I71" s="201"/>
      <c r="J71" s="197">
        <f>14-SUM(B72:B83)</f>
        <v>14</v>
      </c>
      <c r="K71" s="197"/>
      <c r="L71" s="18"/>
      <c r="M71" s="215"/>
      <c r="N71" s="215"/>
      <c r="O71" s="215"/>
      <c r="P71" s="125"/>
      <c r="Q71" s="124"/>
    </row>
    <row r="72" spans="1:18" ht="45" customHeight="1" x14ac:dyDescent="0.3">
      <c r="E72" s="19"/>
      <c r="F72" s="517" t="s">
        <v>483</v>
      </c>
      <c r="G72" s="515" t="s">
        <v>484</v>
      </c>
      <c r="H72" s="219" t="s">
        <v>485</v>
      </c>
      <c r="I72" s="220" t="s">
        <v>486</v>
      </c>
      <c r="J72" s="221">
        <f>IF($G$72=$R$85,6,0)</f>
        <v>0</v>
      </c>
      <c r="K72" s="52"/>
      <c r="L72" s="50" t="str">
        <f>IF(SUM(K72:K73)&gt;7,"!", "")</f>
        <v/>
      </c>
      <c r="M72" s="122"/>
      <c r="N72" s="122"/>
      <c r="O72" s="122"/>
      <c r="P72" s="125"/>
      <c r="Q72" s="124"/>
    </row>
    <row r="73" spans="1:18" ht="45" customHeight="1" x14ac:dyDescent="0.3">
      <c r="E73" s="19"/>
      <c r="F73" s="518"/>
      <c r="G73" s="515"/>
      <c r="H73" s="219" t="s">
        <v>487</v>
      </c>
      <c r="I73" s="220" t="s">
        <v>488</v>
      </c>
      <c r="J73" s="221">
        <f>IF($G$72=$R$85,4,0)</f>
        <v>0</v>
      </c>
      <c r="K73" s="52"/>
      <c r="L73" s="50" t="str">
        <f>IF(SUM(K72:K73)&gt;7,"!", "")</f>
        <v/>
      </c>
      <c r="M73" s="122"/>
      <c r="N73" s="122"/>
      <c r="O73" s="122"/>
      <c r="P73" s="117"/>
      <c r="Q73" s="117"/>
    </row>
    <row r="74" spans="1:18" ht="45" customHeight="1" x14ac:dyDescent="0.3">
      <c r="E74" s="19"/>
      <c r="F74" s="518"/>
      <c r="G74" s="515"/>
      <c r="H74" s="219" t="s">
        <v>489</v>
      </c>
      <c r="I74" s="222" t="s">
        <v>490</v>
      </c>
      <c r="J74" s="221">
        <f>IF($G$72=$R$86,3,0)</f>
        <v>3</v>
      </c>
      <c r="K74" s="52"/>
      <c r="L74" s="484" t="str">
        <f>IF(SUM(K74:K77)&gt;5,"Error: the total number of points available for the 'Material Use' Pathway is 5. Please enter a points score less than or equal to 5.","")</f>
        <v/>
      </c>
      <c r="M74" s="122"/>
      <c r="N74" s="122"/>
      <c r="O74" s="122"/>
      <c r="Q74" s="128"/>
    </row>
    <row r="75" spans="1:18" ht="45" customHeight="1" x14ac:dyDescent="0.3">
      <c r="E75" s="19"/>
      <c r="F75" s="518"/>
      <c r="G75" s="515"/>
      <c r="H75" s="219" t="s">
        <v>491</v>
      </c>
      <c r="I75" s="222" t="s">
        <v>492</v>
      </c>
      <c r="J75" s="221">
        <f>IF($G$72=$R$86,1,0)</f>
        <v>1</v>
      </c>
      <c r="K75" s="52"/>
      <c r="L75" s="484"/>
      <c r="M75" s="122"/>
      <c r="N75" s="122"/>
      <c r="O75" s="122"/>
      <c r="P75" s="169"/>
    </row>
    <row r="76" spans="1:18" ht="45" customHeight="1" x14ac:dyDescent="0.3">
      <c r="E76" s="19"/>
      <c r="F76" s="518"/>
      <c r="G76" s="515"/>
      <c r="H76" s="219" t="s">
        <v>493</v>
      </c>
      <c r="I76" s="223" t="s">
        <v>494</v>
      </c>
      <c r="J76" s="221">
        <f>IF($G$72=$R$86,4,0)</f>
        <v>4</v>
      </c>
      <c r="K76" s="52"/>
      <c r="L76" s="484"/>
      <c r="M76" s="122"/>
      <c r="N76" s="122"/>
      <c r="O76" s="122"/>
      <c r="P76" s="125"/>
      <c r="Q76" s="124"/>
      <c r="R76" s="24" t="s">
        <v>376</v>
      </c>
    </row>
    <row r="77" spans="1:18" ht="45" customHeight="1" x14ac:dyDescent="0.3">
      <c r="A77" s="87">
        <v>4</v>
      </c>
      <c r="B77" s="87">
        <f t="shared" ref="B77:B80" si="3">IF(C77=TRUE,A77,0)</f>
        <v>0</v>
      </c>
      <c r="E77" s="19"/>
      <c r="F77" s="519"/>
      <c r="G77" s="515"/>
      <c r="H77" s="219" t="s">
        <v>493</v>
      </c>
      <c r="I77" s="220" t="s">
        <v>495</v>
      </c>
      <c r="J77" s="221">
        <f>IF($G$72=$R$86,3,0)</f>
        <v>3</v>
      </c>
      <c r="K77" s="52"/>
      <c r="L77" s="484"/>
      <c r="M77" s="122"/>
      <c r="N77" s="122"/>
      <c r="O77" s="122"/>
      <c r="P77" s="125"/>
      <c r="Q77" s="124"/>
      <c r="R77" s="24" t="s">
        <v>379</v>
      </c>
    </row>
    <row r="78" spans="1:18" ht="45" customHeight="1" x14ac:dyDescent="0.3">
      <c r="A78" s="87">
        <v>1</v>
      </c>
      <c r="B78" s="87">
        <f t="shared" si="3"/>
        <v>0</v>
      </c>
      <c r="C78" s="87" t="b">
        <v>0</v>
      </c>
      <c r="E78" s="19"/>
      <c r="F78" s="492" t="s">
        <v>496</v>
      </c>
      <c r="G78" s="507" t="s">
        <v>497</v>
      </c>
      <c r="H78" s="81">
        <v>20.100000000000001</v>
      </c>
      <c r="I78" s="80" t="s">
        <v>498</v>
      </c>
      <c r="J78" s="221">
        <f>IF(C78=TRUE,0,1)</f>
        <v>1</v>
      </c>
      <c r="K78" s="44"/>
      <c r="L78" s="50"/>
      <c r="M78" s="122"/>
      <c r="N78" s="122"/>
      <c r="O78" s="122"/>
      <c r="P78" s="125"/>
      <c r="Q78" s="124"/>
    </row>
    <row r="79" spans="1:18" ht="45" customHeight="1" x14ac:dyDescent="0.3">
      <c r="A79" s="87">
        <v>1</v>
      </c>
      <c r="B79" s="87">
        <f t="shared" si="3"/>
        <v>0</v>
      </c>
      <c r="C79" s="87" t="b">
        <v>0</v>
      </c>
      <c r="E79" s="19"/>
      <c r="F79" s="506"/>
      <c r="G79" s="521"/>
      <c r="H79" s="81">
        <v>20.2</v>
      </c>
      <c r="I79" s="80" t="s">
        <v>499</v>
      </c>
      <c r="J79" s="221">
        <f t="shared" ref="J79:J80" si="4">IF(C79=TRUE,0,1)</f>
        <v>1</v>
      </c>
      <c r="K79" s="44"/>
      <c r="L79" s="22"/>
      <c r="M79" s="122"/>
      <c r="N79" s="122"/>
      <c r="O79" s="122"/>
      <c r="P79" s="125"/>
      <c r="Q79" s="124"/>
    </row>
    <row r="80" spans="1:18" ht="45" customHeight="1" x14ac:dyDescent="0.3">
      <c r="A80" s="87">
        <v>1</v>
      </c>
      <c r="B80" s="87">
        <f t="shared" si="3"/>
        <v>0</v>
      </c>
      <c r="C80" s="87" t="b">
        <v>0</v>
      </c>
      <c r="E80" s="19"/>
      <c r="F80" s="493"/>
      <c r="G80" s="522"/>
      <c r="H80" s="81">
        <v>20.3</v>
      </c>
      <c r="I80" s="80" t="s">
        <v>500</v>
      </c>
      <c r="J80" s="221">
        <f t="shared" si="4"/>
        <v>1</v>
      </c>
      <c r="K80" s="44"/>
      <c r="L80" s="22"/>
      <c r="M80" s="122"/>
      <c r="N80" s="122"/>
      <c r="O80" s="122"/>
      <c r="P80" s="125"/>
      <c r="Q80" s="124"/>
    </row>
    <row r="81" spans="1:18" ht="45" customHeight="1" x14ac:dyDescent="0.3">
      <c r="E81" s="19"/>
      <c r="F81" s="189" t="s">
        <v>501</v>
      </c>
      <c r="G81" s="168" t="s">
        <v>502</v>
      </c>
      <c r="H81" s="172">
        <v>21</v>
      </c>
      <c r="I81" s="80" t="s">
        <v>503</v>
      </c>
      <c r="J81" s="221">
        <v>3</v>
      </c>
      <c r="K81" s="44"/>
      <c r="L81" s="18"/>
      <c r="M81" s="122"/>
      <c r="N81" s="122"/>
      <c r="O81" s="122"/>
      <c r="P81" s="125"/>
      <c r="Q81" s="124"/>
    </row>
    <row r="82" spans="1:18" ht="45" customHeight="1" x14ac:dyDescent="0.3">
      <c r="E82" s="19"/>
      <c r="F82" s="492" t="s">
        <v>504</v>
      </c>
      <c r="G82" s="524" t="s">
        <v>505</v>
      </c>
      <c r="H82" s="115" t="s">
        <v>506</v>
      </c>
      <c r="I82" s="80" t="s">
        <v>505</v>
      </c>
      <c r="J82" s="221">
        <f>IF(G82=R94,1,"0")</f>
        <v>1</v>
      </c>
      <c r="K82" s="44"/>
      <c r="L82" s="18"/>
      <c r="M82" s="122"/>
      <c r="N82" s="122"/>
      <c r="O82" s="122"/>
      <c r="P82" s="117"/>
      <c r="Q82" s="117"/>
    </row>
    <row r="83" spans="1:18" ht="45" customHeight="1" x14ac:dyDescent="0.3">
      <c r="E83" s="19"/>
      <c r="F83" s="493"/>
      <c r="G83" s="511"/>
      <c r="H83" s="115" t="s">
        <v>507</v>
      </c>
      <c r="I83" s="168" t="s">
        <v>508</v>
      </c>
      <c r="J83" s="221" t="str">
        <f>IF(G82=R95,1,"0")</f>
        <v>0</v>
      </c>
      <c r="K83" s="44"/>
      <c r="L83" s="22"/>
      <c r="M83" s="122"/>
      <c r="N83" s="122"/>
      <c r="O83" s="122"/>
      <c r="Q83" s="128"/>
    </row>
    <row r="84" spans="1:18" ht="45" customHeight="1" x14ac:dyDescent="0.3">
      <c r="E84" s="195"/>
      <c r="F84" s="195" t="s">
        <v>301</v>
      </c>
      <c r="G84" s="195"/>
      <c r="H84" s="196"/>
      <c r="I84" s="195"/>
      <c r="J84" s="196">
        <f>IF(G72=R86,12,14)</f>
        <v>12</v>
      </c>
      <c r="K84" s="196">
        <f>SUM(K72:K83)</f>
        <v>0</v>
      </c>
      <c r="L84" s="22" t="str">
        <f>IF(K84&gt;J84,"!","")</f>
        <v/>
      </c>
      <c r="M84" s="124"/>
      <c r="N84" s="117"/>
      <c r="O84" s="117"/>
      <c r="P84" s="169"/>
      <c r="R84" s="4"/>
    </row>
    <row r="85" spans="1:18" ht="45" customHeight="1" x14ac:dyDescent="0.3">
      <c r="L85" s="54"/>
      <c r="M85" s="127"/>
      <c r="P85" s="125"/>
      <c r="Q85" s="124"/>
      <c r="R85" s="24" t="s">
        <v>509</v>
      </c>
    </row>
    <row r="86" spans="1:18" ht="45" customHeight="1" x14ac:dyDescent="0.3">
      <c r="E86" s="187"/>
      <c r="F86" s="520" t="s">
        <v>510</v>
      </c>
      <c r="G86" s="520"/>
      <c r="H86" s="520"/>
      <c r="I86" s="520"/>
      <c r="J86" s="197">
        <f>5-SUM(B87:B91)</f>
        <v>5</v>
      </c>
      <c r="K86" s="197"/>
      <c r="L86" s="18"/>
      <c r="M86" s="215"/>
      <c r="N86" s="215"/>
      <c r="O86" s="215"/>
      <c r="P86" s="125"/>
      <c r="Q86" s="124"/>
      <c r="R86" s="6" t="s">
        <v>484</v>
      </c>
    </row>
    <row r="87" spans="1:18" ht="45" customHeight="1" x14ac:dyDescent="0.3">
      <c r="E87" s="19"/>
      <c r="F87" s="493" t="s">
        <v>511</v>
      </c>
      <c r="G87" s="508" t="s">
        <v>512</v>
      </c>
      <c r="H87" s="206">
        <v>23</v>
      </c>
      <c r="I87" s="224" t="s">
        <v>513</v>
      </c>
      <c r="J87" s="193" t="s">
        <v>375</v>
      </c>
      <c r="K87" s="61"/>
      <c r="L87" s="50"/>
      <c r="M87" s="122"/>
      <c r="N87" s="122"/>
      <c r="O87" s="122"/>
      <c r="P87" s="125"/>
      <c r="Q87" s="124"/>
    </row>
    <row r="88" spans="1:18" ht="45" customHeight="1" x14ac:dyDescent="0.3">
      <c r="E88" s="19"/>
      <c r="F88" s="496"/>
      <c r="G88" s="509"/>
      <c r="H88" s="26">
        <v>23.1</v>
      </c>
      <c r="I88" s="42" t="s">
        <v>511</v>
      </c>
      <c r="J88" s="20">
        <v>3</v>
      </c>
      <c r="K88" s="52"/>
      <c r="L88" s="22" t="str">
        <f>IF(AND(K88&gt;0,$K87&lt;&gt;$AD$8),"!","")</f>
        <v/>
      </c>
      <c r="M88" s="122"/>
      <c r="N88" s="122"/>
      <c r="O88" s="122"/>
      <c r="P88" s="125"/>
      <c r="Q88" s="124"/>
    </row>
    <row r="89" spans="1:18" ht="45" customHeight="1" x14ac:dyDescent="0.3">
      <c r="E89" s="19"/>
      <c r="F89" s="496" t="s">
        <v>514</v>
      </c>
      <c r="G89" s="507" t="s">
        <v>515</v>
      </c>
      <c r="H89" s="26">
        <v>24</v>
      </c>
      <c r="I89" s="62" t="s">
        <v>450</v>
      </c>
      <c r="J89" s="115" t="s">
        <v>450</v>
      </c>
      <c r="K89" s="52"/>
      <c r="L89" s="50"/>
      <c r="M89" s="122"/>
      <c r="N89" s="122"/>
      <c r="O89" s="122"/>
      <c r="P89" s="125"/>
      <c r="Q89" s="124"/>
    </row>
    <row r="90" spans="1:18" ht="45" customHeight="1" x14ac:dyDescent="0.3">
      <c r="E90" s="19"/>
      <c r="F90" s="496"/>
      <c r="G90" s="508"/>
      <c r="H90" s="26">
        <v>24.1</v>
      </c>
      <c r="I90" s="62" t="s">
        <v>516</v>
      </c>
      <c r="J90" s="20">
        <v>1</v>
      </c>
      <c r="K90" s="52"/>
      <c r="L90" s="22" t="str">
        <f>IF(AND(K90&gt;0,$K$89&lt;&gt;$AD$8),"!","")</f>
        <v/>
      </c>
      <c r="M90" s="122"/>
      <c r="N90" s="122"/>
      <c r="O90" s="122"/>
      <c r="P90" s="125"/>
      <c r="Q90" s="124"/>
    </row>
    <row r="91" spans="1:18" ht="45" customHeight="1" x14ac:dyDescent="0.3">
      <c r="A91" s="87">
        <v>1</v>
      </c>
      <c r="B91" s="87">
        <f t="shared" ref="B91" si="5">IF(C91=TRUE,A91,0)</f>
        <v>0</v>
      </c>
      <c r="C91" s="87" t="b">
        <v>0</v>
      </c>
      <c r="E91" s="19"/>
      <c r="F91" s="496"/>
      <c r="G91" s="509"/>
      <c r="H91" s="26">
        <v>24.2</v>
      </c>
      <c r="I91" s="62" t="s">
        <v>517</v>
      </c>
      <c r="J91" s="20">
        <f>IF(C91=FALSE,1,0)</f>
        <v>1</v>
      </c>
      <c r="K91" s="52"/>
      <c r="L91" s="22" t="str">
        <f>IF(AND(K91&gt;0,$K$89&lt;&gt;$AD$8),"!","")</f>
        <v/>
      </c>
      <c r="M91" s="122"/>
      <c r="N91" s="122"/>
      <c r="O91" s="122"/>
      <c r="P91" s="125"/>
      <c r="Q91" s="124"/>
    </row>
    <row r="92" spans="1:18" ht="45" customHeight="1" x14ac:dyDescent="0.3">
      <c r="E92" s="195"/>
      <c r="F92" s="195" t="s">
        <v>301</v>
      </c>
      <c r="G92" s="195"/>
      <c r="H92" s="196"/>
      <c r="I92" s="195"/>
      <c r="J92" s="196">
        <f>SUM(J87:J91)</f>
        <v>5</v>
      </c>
      <c r="K92" s="196">
        <f>SUM(K87:K91)</f>
        <v>0</v>
      </c>
      <c r="L92" s="22" t="str">
        <f>IF(K92&gt;J92,"!","")</f>
        <v/>
      </c>
      <c r="P92" s="125"/>
      <c r="Q92" s="124"/>
    </row>
    <row r="93" spans="1:18" ht="45" customHeight="1" x14ac:dyDescent="0.3">
      <c r="L93" s="54"/>
      <c r="P93" s="125"/>
      <c r="Q93" s="124"/>
    </row>
    <row r="94" spans="1:18" ht="45" customHeight="1" x14ac:dyDescent="0.3">
      <c r="E94" s="187"/>
      <c r="F94" s="520" t="s">
        <v>392</v>
      </c>
      <c r="G94" s="520"/>
      <c r="H94" s="520"/>
      <c r="I94" s="520"/>
      <c r="J94" s="197">
        <f>5-SUM(B95:B100)</f>
        <v>5</v>
      </c>
      <c r="K94" s="197"/>
      <c r="L94" s="18"/>
      <c r="M94" s="215"/>
      <c r="N94" s="215"/>
      <c r="O94" s="215"/>
      <c r="P94" s="125"/>
      <c r="Q94" s="124"/>
      <c r="R94" s="6" t="s">
        <v>505</v>
      </c>
    </row>
    <row r="95" spans="1:18" ht="45" customHeight="1" x14ac:dyDescent="0.3">
      <c r="E95" s="19"/>
      <c r="F95" s="493" t="s">
        <v>518</v>
      </c>
      <c r="G95" s="508" t="s">
        <v>519</v>
      </c>
      <c r="H95" s="206">
        <v>26.1</v>
      </c>
      <c r="I95" s="42" t="s">
        <v>520</v>
      </c>
      <c r="J95" s="211">
        <v>1</v>
      </c>
      <c r="K95" s="61"/>
      <c r="L95" s="50"/>
      <c r="M95" s="122"/>
      <c r="N95" s="122"/>
      <c r="O95" s="122"/>
      <c r="P95" s="125"/>
      <c r="Q95" s="124"/>
      <c r="R95" s="6" t="s">
        <v>508</v>
      </c>
    </row>
    <row r="96" spans="1:18" ht="45" customHeight="1" x14ac:dyDescent="0.3">
      <c r="E96" s="19"/>
      <c r="F96" s="496"/>
      <c r="G96" s="509"/>
      <c r="H96" s="26">
        <v>26.2</v>
      </c>
      <c r="I96" s="42" t="s">
        <v>521</v>
      </c>
      <c r="J96" s="20">
        <v>1</v>
      </c>
      <c r="K96" s="52"/>
      <c r="L96" s="50"/>
      <c r="M96" s="122"/>
      <c r="N96" s="122"/>
      <c r="O96" s="122"/>
      <c r="P96" s="117"/>
      <c r="Q96" s="117"/>
    </row>
    <row r="97" spans="2:17" ht="45" customHeight="1" x14ac:dyDescent="0.3">
      <c r="E97" s="19"/>
      <c r="F97" s="496" t="s">
        <v>522</v>
      </c>
      <c r="G97" s="507" t="s">
        <v>523</v>
      </c>
      <c r="H97" s="26">
        <v>27</v>
      </c>
      <c r="I97" s="62" t="s">
        <v>524</v>
      </c>
      <c r="J97" s="115" t="s">
        <v>375</v>
      </c>
      <c r="K97" s="52"/>
      <c r="L97" s="50"/>
      <c r="M97" s="122"/>
      <c r="N97" s="122"/>
      <c r="O97" s="122"/>
      <c r="Q97" s="128"/>
    </row>
    <row r="98" spans="2:17" ht="45" customHeight="1" x14ac:dyDescent="0.3">
      <c r="E98" s="19"/>
      <c r="F98" s="496"/>
      <c r="G98" s="509"/>
      <c r="H98" s="28">
        <v>27.1</v>
      </c>
      <c r="I98" s="62" t="s">
        <v>525</v>
      </c>
      <c r="J98" s="20">
        <v>1</v>
      </c>
      <c r="K98" s="52"/>
      <c r="L98" s="22" t="str">
        <f>IF(AND(K98&gt;0,$K97&lt;&gt;$AD$8),"!","")</f>
        <v/>
      </c>
      <c r="M98" s="122"/>
      <c r="N98" s="122"/>
      <c r="O98" s="122"/>
      <c r="P98" s="169"/>
    </row>
    <row r="99" spans="2:17" ht="45" customHeight="1" x14ac:dyDescent="0.3">
      <c r="E99" s="19"/>
      <c r="F99" s="189" t="s">
        <v>526</v>
      </c>
      <c r="G99" s="168" t="s">
        <v>527</v>
      </c>
      <c r="H99" s="26">
        <v>28</v>
      </c>
      <c r="I99" s="207" t="s">
        <v>528</v>
      </c>
      <c r="J99" s="20">
        <v>1</v>
      </c>
      <c r="K99" s="52"/>
      <c r="L99" s="50"/>
      <c r="M99" s="122"/>
      <c r="N99" s="122"/>
      <c r="O99" s="122"/>
      <c r="P99" s="125"/>
      <c r="Q99" s="124"/>
    </row>
    <row r="100" spans="2:17" ht="45" customHeight="1" x14ac:dyDescent="0.3">
      <c r="E100" s="19"/>
      <c r="F100" s="208" t="s">
        <v>529</v>
      </c>
      <c r="G100" s="194" t="s">
        <v>530</v>
      </c>
      <c r="H100" s="225">
        <v>29</v>
      </c>
      <c r="I100" s="207" t="s">
        <v>531</v>
      </c>
      <c r="J100" s="213">
        <v>1</v>
      </c>
      <c r="K100" s="63"/>
      <c r="L100" s="50"/>
      <c r="M100" s="122"/>
      <c r="N100" s="122"/>
      <c r="O100" s="122"/>
      <c r="P100" s="125"/>
      <c r="Q100" s="124"/>
    </row>
    <row r="101" spans="2:17" ht="45" customHeight="1" x14ac:dyDescent="0.3">
      <c r="E101" s="195"/>
      <c r="F101" s="195" t="s">
        <v>301</v>
      </c>
      <c r="G101" s="195"/>
      <c r="H101" s="196"/>
      <c r="I101" s="195"/>
      <c r="J101" s="196">
        <f>SUM(J95:J100)</f>
        <v>5</v>
      </c>
      <c r="K101" s="196">
        <f>SUM(K95:K100)</f>
        <v>0</v>
      </c>
      <c r="L101" s="22" t="str">
        <f>IF(K101&gt;J101,"!","")</f>
        <v/>
      </c>
      <c r="M101" s="130"/>
      <c r="N101" s="117"/>
      <c r="O101" s="117"/>
      <c r="P101" s="125"/>
      <c r="Q101" s="124"/>
    </row>
    <row r="102" spans="2:17" ht="45" customHeight="1" x14ac:dyDescent="0.3">
      <c r="F102" s="45"/>
      <c r="G102" s="45"/>
      <c r="H102" s="1"/>
      <c r="I102" s="45"/>
      <c r="J102" s="1"/>
      <c r="K102" s="1"/>
      <c r="L102" s="18"/>
      <c r="M102" s="131"/>
      <c r="N102" s="117"/>
      <c r="O102" s="117"/>
      <c r="P102" s="125"/>
      <c r="Q102" s="124"/>
    </row>
    <row r="103" spans="2:17" ht="45" customHeight="1" x14ac:dyDescent="0.3">
      <c r="E103" s="187"/>
      <c r="F103" s="520" t="s">
        <v>402</v>
      </c>
      <c r="G103" s="520"/>
      <c r="H103" s="520"/>
      <c r="I103" s="520"/>
      <c r="J103" s="197">
        <v>10</v>
      </c>
      <c r="K103" s="209"/>
      <c r="L103" s="18"/>
      <c r="M103" s="215"/>
      <c r="N103" s="215"/>
      <c r="O103" s="215"/>
      <c r="P103" s="169"/>
    </row>
    <row r="104" spans="2:17" ht="45" customHeight="1" x14ac:dyDescent="0.3">
      <c r="E104" s="19"/>
      <c r="F104" s="190" t="s">
        <v>532</v>
      </c>
      <c r="G104" s="210" t="s">
        <v>533</v>
      </c>
      <c r="H104" s="211" t="s">
        <v>534</v>
      </c>
      <c r="I104" s="205" t="s">
        <v>532</v>
      </c>
      <c r="J104" s="523">
        <v>10</v>
      </c>
      <c r="K104" s="61"/>
      <c r="L104" s="50"/>
      <c r="M104" s="122"/>
      <c r="N104" s="122"/>
      <c r="O104" s="122"/>
      <c r="P104" s="125"/>
      <c r="Q104" s="124"/>
    </row>
    <row r="105" spans="2:17" ht="45" customHeight="1" x14ac:dyDescent="0.3">
      <c r="E105" s="19"/>
      <c r="F105" s="189" t="s">
        <v>339</v>
      </c>
      <c r="G105" s="31" t="s">
        <v>535</v>
      </c>
      <c r="H105" s="20" t="s">
        <v>536</v>
      </c>
      <c r="I105" s="27" t="s">
        <v>339</v>
      </c>
      <c r="J105" s="523"/>
      <c r="K105" s="61"/>
      <c r="L105" s="50"/>
      <c r="M105" s="122"/>
      <c r="N105" s="122"/>
      <c r="O105" s="122"/>
      <c r="P105" s="125"/>
      <c r="Q105" s="124"/>
    </row>
    <row r="106" spans="2:17" ht="45" customHeight="1" x14ac:dyDescent="0.3">
      <c r="E106" s="19"/>
      <c r="F106" s="189" t="s">
        <v>537</v>
      </c>
      <c r="G106" s="31" t="s">
        <v>538</v>
      </c>
      <c r="H106" s="20" t="s">
        <v>539</v>
      </c>
      <c r="I106" s="27" t="s">
        <v>537</v>
      </c>
      <c r="J106" s="523"/>
      <c r="K106" s="61"/>
      <c r="L106" s="50"/>
      <c r="M106" s="122"/>
      <c r="N106" s="122"/>
      <c r="O106" s="122"/>
      <c r="P106" s="125"/>
      <c r="Q106" s="124"/>
    </row>
    <row r="107" spans="2:17" ht="45" customHeight="1" x14ac:dyDescent="0.3">
      <c r="E107" s="19"/>
      <c r="F107" s="189" t="s">
        <v>540</v>
      </c>
      <c r="G107" s="31" t="s">
        <v>541</v>
      </c>
      <c r="H107" s="20" t="s">
        <v>542</v>
      </c>
      <c r="I107" s="27" t="s">
        <v>540</v>
      </c>
      <c r="J107" s="523"/>
      <c r="K107" s="61"/>
      <c r="L107" s="50"/>
      <c r="M107" s="122"/>
      <c r="N107" s="122"/>
      <c r="O107" s="122"/>
      <c r="P107" s="125"/>
      <c r="Q107" s="124"/>
    </row>
    <row r="108" spans="2:17" ht="45" customHeight="1" x14ac:dyDescent="0.3">
      <c r="E108" s="19"/>
      <c r="F108" s="192" t="s">
        <v>543</v>
      </c>
      <c r="G108" s="212" t="s">
        <v>544</v>
      </c>
      <c r="H108" s="213" t="s">
        <v>545</v>
      </c>
      <c r="I108" s="214" t="s">
        <v>543</v>
      </c>
      <c r="J108" s="523"/>
      <c r="K108" s="61"/>
      <c r="L108" s="50"/>
      <c r="M108" s="122"/>
      <c r="N108" s="122"/>
      <c r="O108" s="122"/>
      <c r="P108" s="125"/>
      <c r="Q108" s="124"/>
    </row>
    <row r="109" spans="2:17" ht="45" customHeight="1" x14ac:dyDescent="0.3">
      <c r="E109" s="195"/>
      <c r="F109" s="195" t="s">
        <v>301</v>
      </c>
      <c r="G109" s="195"/>
      <c r="H109" s="196"/>
      <c r="I109" s="195"/>
      <c r="J109" s="196">
        <f>SUM(J104)</f>
        <v>10</v>
      </c>
      <c r="K109" s="196">
        <f>IF(SUM(K104:K108)&gt;10,10,SUM(K104:K108))</f>
        <v>0</v>
      </c>
      <c r="L109" s="22" t="str">
        <f>IF(K109&gt;J109,"!","")</f>
        <v/>
      </c>
    </row>
    <row r="110" spans="2:17" ht="45" customHeight="1" x14ac:dyDescent="0.3">
      <c r="F110" s="45"/>
      <c r="G110" s="45"/>
      <c r="H110" s="1"/>
      <c r="I110" s="45"/>
      <c r="J110" s="1"/>
      <c r="K110" s="1"/>
      <c r="L110" s="4"/>
    </row>
    <row r="111" spans="2:17" ht="45" customHeight="1" x14ac:dyDescent="0.3">
      <c r="B111" s="90" t="s">
        <v>546</v>
      </c>
      <c r="F111" s="72"/>
      <c r="G111" s="72"/>
      <c r="H111" s="33"/>
      <c r="I111" s="69" t="s">
        <v>341</v>
      </c>
      <c r="J111" s="8" t="s">
        <v>342</v>
      </c>
      <c r="K111" s="8" t="s">
        <v>343</v>
      </c>
      <c r="L111" s="82"/>
      <c r="M111" s="215"/>
      <c r="N111" s="215"/>
      <c r="O111" s="215"/>
      <c r="P111" s="129"/>
    </row>
    <row r="112" spans="2:17" ht="45" customHeight="1" x14ac:dyDescent="0.3">
      <c r="B112" s="87">
        <f>SUM(B7:B102)</f>
        <v>0</v>
      </c>
      <c r="F112" s="16"/>
      <c r="G112" s="16"/>
      <c r="H112" s="1"/>
      <c r="I112" s="17" t="s">
        <v>346</v>
      </c>
      <c r="J112" s="75">
        <f>100-B112</f>
        <v>100</v>
      </c>
      <c r="K112" s="76">
        <f>K25+K45+K52+K60+K69+K84+K92+K101</f>
        <v>0</v>
      </c>
      <c r="M112" s="122"/>
      <c r="N112" s="122"/>
      <c r="O112" s="122"/>
      <c r="P112" s="117"/>
    </row>
    <row r="113" spans="6:16" ht="45" customHeight="1" x14ac:dyDescent="0.3">
      <c r="F113" s="16"/>
      <c r="G113" s="16"/>
      <c r="H113" s="83"/>
      <c r="I113" s="17" t="s">
        <v>547</v>
      </c>
      <c r="J113" s="73"/>
      <c r="K113" s="86">
        <f>K112/J112*100</f>
        <v>0</v>
      </c>
      <c r="L113" s="70"/>
      <c r="M113" s="122"/>
      <c r="N113" s="122"/>
      <c r="O113" s="122"/>
      <c r="P113" s="117"/>
    </row>
    <row r="114" spans="6:16" ht="45" customHeight="1" x14ac:dyDescent="0.3">
      <c r="F114" s="16"/>
      <c r="G114" s="16"/>
      <c r="H114" s="1"/>
      <c r="I114" s="17" t="s">
        <v>548</v>
      </c>
      <c r="J114" s="75">
        <v>10</v>
      </c>
      <c r="K114" s="76">
        <f>K109</f>
        <v>0</v>
      </c>
      <c r="L114" s="71"/>
      <c r="M114" s="122"/>
      <c r="N114" s="122"/>
      <c r="O114" s="122"/>
      <c r="P114" s="117"/>
    </row>
    <row r="115" spans="6:16" ht="45" customHeight="1" x14ac:dyDescent="0.3">
      <c r="I115" s="17" t="s">
        <v>348</v>
      </c>
      <c r="J115" s="74"/>
      <c r="K115" s="86">
        <f>K113+K114</f>
        <v>0</v>
      </c>
      <c r="M115" s="122"/>
      <c r="N115" s="122"/>
      <c r="O115" s="122"/>
    </row>
    <row r="120" spans="6:16" hidden="1" x14ac:dyDescent="0.3"/>
    <row r="121" spans="6:16" hidden="1" x14ac:dyDescent="0.3"/>
    <row r="122" spans="6:16" hidden="1" x14ac:dyDescent="0.3"/>
    <row r="123" spans="6:16" hidden="1" x14ac:dyDescent="0.3"/>
    <row r="124" spans="6:16" hidden="1" x14ac:dyDescent="0.3"/>
    <row r="125" spans="6:16" hidden="1" x14ac:dyDescent="0.3"/>
  </sheetData>
  <sheetProtection algorithmName="SHA-512" hashValue="XTiDBQ8+2+wVgwXZ7QS5zph2GEujf6VRcQtlVB3zVDwC9MPIkUcYO0mN9uGLv6g76WwW00yMIDXof1wR0BSmUA==" saltValue="ILIgPiCTfNtXtI24bKPITQ==" spinCount="100000" sheet="1" objects="1" scenarios="1"/>
  <mergeCells count="56">
    <mergeCell ref="F78:F80"/>
    <mergeCell ref="G78:G80"/>
    <mergeCell ref="J104:J108"/>
    <mergeCell ref="F103:I103"/>
    <mergeCell ref="F89:F91"/>
    <mergeCell ref="G89:G91"/>
    <mergeCell ref="F94:I94"/>
    <mergeCell ref="F95:F96"/>
    <mergeCell ref="G95:G96"/>
    <mergeCell ref="G97:G98"/>
    <mergeCell ref="F82:F83"/>
    <mergeCell ref="G82:G83"/>
    <mergeCell ref="F86:I86"/>
    <mergeCell ref="F87:F88"/>
    <mergeCell ref="G87:G88"/>
    <mergeCell ref="F97:F98"/>
    <mergeCell ref="F41:F42"/>
    <mergeCell ref="G41:G42"/>
    <mergeCell ref="F63:F68"/>
    <mergeCell ref="G63:G68"/>
    <mergeCell ref="F72:F77"/>
    <mergeCell ref="G72:G77"/>
    <mergeCell ref="F43:F44"/>
    <mergeCell ref="G43:G44"/>
    <mergeCell ref="F47:I47"/>
    <mergeCell ref="F48:F49"/>
    <mergeCell ref="G48:G49"/>
    <mergeCell ref="F38:F40"/>
    <mergeCell ref="G38:G40"/>
    <mergeCell ref="G23:G24"/>
    <mergeCell ref="F27:I27"/>
    <mergeCell ref="F28:F30"/>
    <mergeCell ref="G28:G30"/>
    <mergeCell ref="F31:F33"/>
    <mergeCell ref="G31:G33"/>
    <mergeCell ref="F20:F22"/>
    <mergeCell ref="G20:G22"/>
    <mergeCell ref="F23:F24"/>
    <mergeCell ref="F34:F37"/>
    <mergeCell ref="G34:G37"/>
    <mergeCell ref="F1:I1"/>
    <mergeCell ref="G2:H2"/>
    <mergeCell ref="G3:H3"/>
    <mergeCell ref="F8:F12"/>
    <mergeCell ref="G8:G12"/>
    <mergeCell ref="F13:F14"/>
    <mergeCell ref="G13:G14"/>
    <mergeCell ref="F16:F17"/>
    <mergeCell ref="G16:G17"/>
    <mergeCell ref="F18:F19"/>
    <mergeCell ref="G18:G19"/>
    <mergeCell ref="L74:L77"/>
    <mergeCell ref="F50:F51"/>
    <mergeCell ref="G50:G51"/>
    <mergeCell ref="F55:F59"/>
    <mergeCell ref="G55:G59"/>
  </mergeCells>
  <conditionalFormatting sqref="E28:E44">
    <cfRule type="expression" dxfId="85" priority="13">
      <formula>$C28=TRUE</formula>
    </cfRule>
  </conditionalFormatting>
  <conditionalFormatting sqref="E63:E68">
    <cfRule type="expression" dxfId="84" priority="11">
      <formula>$C63=TRUE</formula>
    </cfRule>
  </conditionalFormatting>
  <conditionalFormatting sqref="E72:E83">
    <cfRule type="expression" dxfId="83" priority="10">
      <formula>$C72=TRUE</formula>
    </cfRule>
  </conditionalFormatting>
  <conditionalFormatting sqref="E95:E100">
    <cfRule type="expression" dxfId="82" priority="9">
      <formula>$C95=TRUE</formula>
    </cfRule>
  </conditionalFormatting>
  <conditionalFormatting sqref="E104:E108">
    <cfRule type="expression" dxfId="81" priority="5">
      <formula>$C104=TRUE</formula>
    </cfRule>
  </conditionalFormatting>
  <conditionalFormatting sqref="G52">
    <cfRule type="expression" dxfId="80" priority="44">
      <formula>$J$51=0</formula>
    </cfRule>
  </conditionalFormatting>
  <conditionalFormatting sqref="H26:J26">
    <cfRule type="expression" dxfId="79" priority="45">
      <formula>#REF!=0</formula>
    </cfRule>
  </conditionalFormatting>
  <conditionalFormatting sqref="H29:J33">
    <cfRule type="expression" dxfId="78" priority="30">
      <formula>$C29=TRUE</formula>
    </cfRule>
  </conditionalFormatting>
  <conditionalFormatting sqref="H35:J37">
    <cfRule type="expression" dxfId="77" priority="29">
      <formula>$C35=TRUE</formula>
    </cfRule>
  </conditionalFormatting>
  <conditionalFormatting sqref="H39:J44">
    <cfRule type="expression" dxfId="76" priority="28">
      <formula>$C39=TRUE</formula>
    </cfRule>
  </conditionalFormatting>
  <conditionalFormatting sqref="H55:J59">
    <cfRule type="expression" dxfId="75" priority="2">
      <formula>#REF!&lt;&gt;#REF!</formula>
    </cfRule>
  </conditionalFormatting>
  <conditionalFormatting sqref="H76:J76">
    <cfRule type="expression" dxfId="74" priority="6">
      <formula>$C$77=TRUE</formula>
    </cfRule>
  </conditionalFormatting>
  <conditionalFormatting sqref="H23:K23">
    <cfRule type="expression" dxfId="73" priority="20">
      <formula>$G$23=$R$9</formula>
    </cfRule>
  </conditionalFormatting>
  <conditionalFormatting sqref="H24:K24">
    <cfRule type="expression" dxfId="72" priority="19">
      <formula>$G$23=$R$8</formula>
    </cfRule>
  </conditionalFormatting>
  <conditionalFormatting sqref="H28:K28 K29:K44 E48:E51 E87:E91">
    <cfRule type="expression" dxfId="71" priority="32">
      <formula>$C28=TRUE</formula>
    </cfRule>
  </conditionalFormatting>
  <conditionalFormatting sqref="H48:K49">
    <cfRule type="expression" dxfId="70" priority="18">
      <formula>#REF!&lt;&gt;#REF!</formula>
    </cfRule>
  </conditionalFormatting>
  <conditionalFormatting sqref="H51:K51">
    <cfRule type="expression" dxfId="69" priority="16">
      <formula>$G$50=$R$62</formula>
    </cfRule>
  </conditionalFormatting>
  <conditionalFormatting sqref="H63:K63">
    <cfRule type="expression" dxfId="68" priority="3">
      <formula>$G$63=$R$68</formula>
    </cfRule>
  </conditionalFormatting>
  <conditionalFormatting sqref="H64:K68">
    <cfRule type="expression" dxfId="67" priority="1">
      <formula>$G$63=$R$67</formula>
    </cfRule>
  </conditionalFormatting>
  <conditionalFormatting sqref="H72:K73">
    <cfRule type="expression" dxfId="66" priority="34">
      <formula>$G$72=$R$86</formula>
    </cfRule>
  </conditionalFormatting>
  <conditionalFormatting sqref="H74:K77">
    <cfRule type="expression" dxfId="65" priority="33">
      <formula>$G$72=$R$85</formula>
    </cfRule>
  </conditionalFormatting>
  <conditionalFormatting sqref="H77:K77">
    <cfRule type="expression" dxfId="64" priority="24">
      <formula>$C$77=TRUE</formula>
    </cfRule>
  </conditionalFormatting>
  <conditionalFormatting sqref="H78:K78">
    <cfRule type="expression" dxfId="63" priority="23">
      <formula>$C$78=TRUE</formula>
    </cfRule>
  </conditionalFormatting>
  <conditionalFormatting sqref="H79:K79">
    <cfRule type="expression" dxfId="62" priority="22">
      <formula>$C$79=TRUE</formula>
    </cfRule>
  </conditionalFormatting>
  <conditionalFormatting sqref="H80:K80">
    <cfRule type="expression" dxfId="61" priority="21">
      <formula>$C$80=TRUE</formula>
    </cfRule>
  </conditionalFormatting>
  <conditionalFormatting sqref="H82:K82">
    <cfRule type="expression" dxfId="60" priority="15">
      <formula>$G$82=$R$95</formula>
    </cfRule>
  </conditionalFormatting>
  <conditionalFormatting sqref="H83:K83">
    <cfRule type="expression" dxfId="59" priority="14">
      <formula>$G$82=$R$94</formula>
    </cfRule>
  </conditionalFormatting>
  <conditionalFormatting sqref="H91:K91">
    <cfRule type="expression" dxfId="58" priority="25">
      <formula>$C$91=TRUE</formula>
    </cfRule>
  </conditionalFormatting>
  <conditionalFormatting sqref="K21:K22">
    <cfRule type="expression" dxfId="57" priority="43">
      <formula>$G$20=$I$21</formula>
    </cfRule>
  </conditionalFormatting>
  <conditionalFormatting sqref="K55:K59 H50:K50">
    <cfRule type="expression" dxfId="56" priority="17">
      <formula>$G$50=$R$63</formula>
    </cfRule>
  </conditionalFormatting>
  <conditionalFormatting sqref="K56">
    <cfRule type="expression" dxfId="55" priority="12">
      <formula>$C56=TRUE</formula>
    </cfRule>
  </conditionalFormatting>
  <conditionalFormatting sqref="K57">
    <cfRule type="expression" dxfId="54" priority="7">
      <formula>$C$57=TRUE</formula>
    </cfRule>
  </conditionalFormatting>
  <conditionalFormatting sqref="K95:K96 K98:K100">
    <cfRule type="expression" dxfId="53" priority="37">
      <formula>$G$71=$AA$72</formula>
    </cfRule>
  </conditionalFormatting>
  <conditionalFormatting sqref="K97">
    <cfRule type="expression" dxfId="52" priority="40">
      <formula>#REF!=#REF!</formula>
    </cfRule>
  </conditionalFormatting>
  <conditionalFormatting sqref="K104:K108">
    <cfRule type="expression" dxfId="51" priority="160">
      <formula>$G$84=$R$85</formula>
    </cfRule>
  </conditionalFormatting>
  <dataValidations count="15">
    <dataValidation type="decimal" operator="lessThanOrEqual" allowBlank="1" showInputMessage="1" showErrorMessage="1" sqref="K23:K24" xr:uid="{EE1ED690-E2EB-4F95-B58E-F65DF1F23CE0}">
      <formula1>1</formula1>
    </dataValidation>
    <dataValidation type="decimal" operator="lessThanOrEqual" allowBlank="1" showInputMessage="1" showErrorMessage="1" sqref="K104:K108" xr:uid="{00000000-0002-0000-0600-000005000000}">
      <formula1>10</formula1>
    </dataValidation>
    <dataValidation type="decimal" allowBlank="1" showInputMessage="1" showErrorMessage="1" sqref="K19 K7 K21:K22 K9:K17" xr:uid="{65F3DD4A-870D-463C-8E4C-72230667F145}">
      <formula1>0</formula1>
      <formula2>J7</formula2>
    </dataValidation>
    <dataValidation type="decimal" operator="lessThanOrEqual" allowBlank="1" showInputMessage="1" showErrorMessage="1" sqref="K109 K98:K100 K49:K51 K39:K44 K63:K68 K95:K96 K88 K28:K33 K35:K37 K72:K83 K55:K59 K90:K91" xr:uid="{00000000-0002-0000-0600-00000E000000}">
      <formula1>J28</formula1>
    </dataValidation>
    <dataValidation type="list" allowBlank="1" showInputMessage="1" showErrorMessage="1" promptTitle="Selection Required" prompt="Please indicate the project's desired pathway." sqref="G82:G83" xr:uid="{AFAEAA00-7D47-471C-A34C-E39736944D98}">
      <formula1>$R$94:$R$95</formula1>
    </dataValidation>
    <dataValidation type="list" allowBlank="1" showInputMessage="1" showErrorMessage="1" sqref="G53" xr:uid="{8933977B-C5AB-4810-9EB3-9742C9D6FD91}">
      <formula1>$AA$50:$AA$50</formula1>
    </dataValidation>
    <dataValidation type="list" allowBlank="1" showInputMessage="1" showErrorMessage="1" promptTitle="Selection Required" prompt="Please indicate the project's desired pathway." sqref="G50:G51" xr:uid="{2D458129-1057-4290-91B7-4051CB1F6B84}">
      <formula1>$R$62:$R$63</formula1>
    </dataValidation>
    <dataValidation type="list" allowBlank="1" showInputMessage="1" showErrorMessage="1" promptTitle="Selection Required" prompt="Please indicate the project's desired pathway." sqref="G23:G24" xr:uid="{FA613D4F-DAC8-4442-9F69-23A55623F69E}">
      <formula1>$R$8:$R$9</formula1>
    </dataValidation>
    <dataValidation type="list" allowBlank="1" showInputMessage="1" showErrorMessage="1" promptTitle="Selection Required" prompt="Please indicate the project's desired pathway." sqref="G72:G77" xr:uid="{BC5F75F9-10D7-463F-AF9F-4CED6F2488EE}">
      <formula1>$R$85:$R$86</formula1>
    </dataValidation>
    <dataValidation type="list" allowBlank="1" showInputMessage="1" showErrorMessage="1" sqref="K48 K87 K97 K8 K89 K20 K18" xr:uid="{2E32F46D-DF42-43F7-BC93-42B8FDB4F93F}">
      <formula1>$AD$7:$AD$9</formula1>
    </dataValidation>
    <dataValidation type="list" allowBlank="1" showInputMessage="1" showErrorMessage="1" sqref="G70" xr:uid="{D898A975-E444-4E5D-A67E-514951B91EDA}">
      <formula1>$T$63:$T$64</formula1>
    </dataValidation>
    <dataValidation type="list" allowBlank="1" showInputMessage="1" showErrorMessage="1" sqref="G26" xr:uid="{2A682C9D-008E-4FA1-B2CB-3050B8EAF9D9}">
      <formula1>$T$24:$T$24</formula1>
    </dataValidation>
    <dataValidation type="list" allowBlank="1" showInputMessage="1" showErrorMessage="1" sqref="G61" xr:uid="{C8592EBC-2B48-407B-956D-339EFBF89850}">
      <formula1>$AA$55:$AA$55</formula1>
    </dataValidation>
    <dataValidation type="list" allowBlank="1" showInputMessage="1" showErrorMessage="1" promptTitle="Selection Required" prompt="Please indicate the project's desired pathway." sqref="G63:G68" xr:uid="{D0688541-2C8F-451F-9A25-405D948D95DB}">
      <formula1>$R$67:$R$68</formula1>
    </dataValidation>
    <dataValidation type="list" operator="lessThanOrEqual" allowBlank="1" showInputMessage="1" showErrorMessage="1" sqref="K34 K38" xr:uid="{ED872DEB-A4DA-40FE-86B4-0DE9BF8809FD}">
      <formula1>$AD$7:$AD$9</formula1>
    </dataValidation>
  </dataValidations>
  <pageMargins left="0.70866141732283472" right="0.70866141732283472" top="0.74803149606299213" bottom="0.74803149606299213" header="0.31496062992125984" footer="0.31496062992125984"/>
  <pageSetup paperSize="9" scale="55" orientation="portrait" horizontalDpi="1200" verticalDpi="1200" r:id="rId1"/>
  <headerFooter>
    <oddHeader>&amp;L&amp;"Calibri"&amp;8&amp;K000000 Sensitivity: General&amp;1#_x000D_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4</xdr:col>
                    <xdr:colOff>38100</xdr:colOff>
                    <xdr:row>27</xdr:row>
                    <xdr:rowOff>177800</xdr:rowOff>
                  </from>
                  <to>
                    <xdr:col>5</xdr:col>
                    <xdr:colOff>558800</xdr:colOff>
                    <xdr:row>27</xdr:row>
                    <xdr:rowOff>381000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4</xdr:col>
                    <xdr:colOff>38100</xdr:colOff>
                    <xdr:row>28</xdr:row>
                    <xdr:rowOff>177800</xdr:rowOff>
                  </from>
                  <to>
                    <xdr:col>5</xdr:col>
                    <xdr:colOff>558800</xdr:colOff>
                    <xdr:row>28</xdr:row>
                    <xdr:rowOff>381000</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4</xdr:col>
                    <xdr:colOff>38100</xdr:colOff>
                    <xdr:row>29</xdr:row>
                    <xdr:rowOff>177800</xdr:rowOff>
                  </from>
                  <to>
                    <xdr:col>5</xdr:col>
                    <xdr:colOff>558800</xdr:colOff>
                    <xdr:row>29</xdr:row>
                    <xdr:rowOff>381000</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4</xdr:col>
                    <xdr:colOff>38100</xdr:colOff>
                    <xdr:row>30</xdr:row>
                    <xdr:rowOff>177800</xdr:rowOff>
                  </from>
                  <to>
                    <xdr:col>5</xdr:col>
                    <xdr:colOff>558800</xdr:colOff>
                    <xdr:row>30</xdr:row>
                    <xdr:rowOff>381000</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4</xdr:col>
                    <xdr:colOff>38100</xdr:colOff>
                    <xdr:row>31</xdr:row>
                    <xdr:rowOff>177800</xdr:rowOff>
                  </from>
                  <to>
                    <xdr:col>5</xdr:col>
                    <xdr:colOff>558800</xdr:colOff>
                    <xdr:row>31</xdr:row>
                    <xdr:rowOff>381000</xdr:rowOff>
                  </to>
                </anchor>
              </controlPr>
            </control>
          </mc:Choice>
        </mc:AlternateContent>
        <mc:AlternateContent xmlns:mc="http://schemas.openxmlformats.org/markup-compatibility/2006">
          <mc:Choice Requires="x14">
            <control shapeId="10248" r:id="rId9" name="Check Box 8">
              <controlPr defaultSize="0" autoFill="0" autoLine="0" autoPict="0">
                <anchor moveWithCells="1">
                  <from>
                    <xdr:col>4</xdr:col>
                    <xdr:colOff>38100</xdr:colOff>
                    <xdr:row>34</xdr:row>
                    <xdr:rowOff>177800</xdr:rowOff>
                  </from>
                  <to>
                    <xdr:col>5</xdr:col>
                    <xdr:colOff>558800</xdr:colOff>
                    <xdr:row>34</xdr:row>
                    <xdr:rowOff>381000</xdr:rowOff>
                  </to>
                </anchor>
              </controlPr>
            </control>
          </mc:Choice>
        </mc:AlternateContent>
        <mc:AlternateContent xmlns:mc="http://schemas.openxmlformats.org/markup-compatibility/2006">
          <mc:Choice Requires="x14">
            <control shapeId="10249" r:id="rId10" name="Check Box 9">
              <controlPr defaultSize="0" autoFill="0" autoLine="0" autoPict="0">
                <anchor moveWithCells="1">
                  <from>
                    <xdr:col>4</xdr:col>
                    <xdr:colOff>38100</xdr:colOff>
                    <xdr:row>35</xdr:row>
                    <xdr:rowOff>177800</xdr:rowOff>
                  </from>
                  <to>
                    <xdr:col>5</xdr:col>
                    <xdr:colOff>558800</xdr:colOff>
                    <xdr:row>35</xdr:row>
                    <xdr:rowOff>381000</xdr:rowOff>
                  </to>
                </anchor>
              </controlPr>
            </control>
          </mc:Choice>
        </mc:AlternateContent>
        <mc:AlternateContent xmlns:mc="http://schemas.openxmlformats.org/markup-compatibility/2006">
          <mc:Choice Requires="x14">
            <control shapeId="10251" r:id="rId11" name="Check Box 11">
              <controlPr defaultSize="0" autoFill="0" autoLine="0" autoPict="0">
                <anchor moveWithCells="1">
                  <from>
                    <xdr:col>4</xdr:col>
                    <xdr:colOff>38100</xdr:colOff>
                    <xdr:row>38</xdr:row>
                    <xdr:rowOff>177800</xdr:rowOff>
                  </from>
                  <to>
                    <xdr:col>5</xdr:col>
                    <xdr:colOff>558800</xdr:colOff>
                    <xdr:row>38</xdr:row>
                    <xdr:rowOff>381000</xdr:rowOff>
                  </to>
                </anchor>
              </controlPr>
            </control>
          </mc:Choice>
        </mc:AlternateContent>
        <mc:AlternateContent xmlns:mc="http://schemas.openxmlformats.org/markup-compatibility/2006">
          <mc:Choice Requires="x14">
            <control shapeId="10252" r:id="rId12" name="Check Box 12">
              <controlPr defaultSize="0" autoFill="0" autoLine="0" autoPict="0">
                <anchor moveWithCells="1">
                  <from>
                    <xdr:col>4</xdr:col>
                    <xdr:colOff>38100</xdr:colOff>
                    <xdr:row>39</xdr:row>
                    <xdr:rowOff>177800</xdr:rowOff>
                  </from>
                  <to>
                    <xdr:col>5</xdr:col>
                    <xdr:colOff>558800</xdr:colOff>
                    <xdr:row>39</xdr:row>
                    <xdr:rowOff>381000</xdr:rowOff>
                  </to>
                </anchor>
              </controlPr>
            </control>
          </mc:Choice>
        </mc:AlternateContent>
        <mc:AlternateContent xmlns:mc="http://schemas.openxmlformats.org/markup-compatibility/2006">
          <mc:Choice Requires="x14">
            <control shapeId="10253" r:id="rId13" name="Check Box 13">
              <controlPr defaultSize="0" autoFill="0" autoLine="0" autoPict="0">
                <anchor moveWithCells="1">
                  <from>
                    <xdr:col>4</xdr:col>
                    <xdr:colOff>38100</xdr:colOff>
                    <xdr:row>40</xdr:row>
                    <xdr:rowOff>177800</xdr:rowOff>
                  </from>
                  <to>
                    <xdr:col>5</xdr:col>
                    <xdr:colOff>558800</xdr:colOff>
                    <xdr:row>40</xdr:row>
                    <xdr:rowOff>381000</xdr:rowOff>
                  </to>
                </anchor>
              </controlPr>
            </control>
          </mc:Choice>
        </mc:AlternateContent>
        <mc:AlternateContent xmlns:mc="http://schemas.openxmlformats.org/markup-compatibility/2006">
          <mc:Choice Requires="x14">
            <control shapeId="10254" r:id="rId14" name="Check Box 14">
              <controlPr defaultSize="0" autoFill="0" autoLine="0" autoPict="0">
                <anchor moveWithCells="1">
                  <from>
                    <xdr:col>4</xdr:col>
                    <xdr:colOff>38100</xdr:colOff>
                    <xdr:row>41</xdr:row>
                    <xdr:rowOff>177800</xdr:rowOff>
                  </from>
                  <to>
                    <xdr:col>5</xdr:col>
                    <xdr:colOff>558800</xdr:colOff>
                    <xdr:row>41</xdr:row>
                    <xdr:rowOff>381000</xdr:rowOff>
                  </to>
                </anchor>
              </controlPr>
            </control>
          </mc:Choice>
        </mc:AlternateContent>
        <mc:AlternateContent xmlns:mc="http://schemas.openxmlformats.org/markup-compatibility/2006">
          <mc:Choice Requires="x14">
            <control shapeId="10255" r:id="rId15" name="Check Box 15">
              <controlPr defaultSize="0" autoFill="0" autoLine="0" autoPict="0">
                <anchor moveWithCells="1">
                  <from>
                    <xdr:col>4</xdr:col>
                    <xdr:colOff>38100</xdr:colOff>
                    <xdr:row>42</xdr:row>
                    <xdr:rowOff>177800</xdr:rowOff>
                  </from>
                  <to>
                    <xdr:col>5</xdr:col>
                    <xdr:colOff>558800</xdr:colOff>
                    <xdr:row>42</xdr:row>
                    <xdr:rowOff>381000</xdr:rowOff>
                  </to>
                </anchor>
              </controlPr>
            </control>
          </mc:Choice>
        </mc:AlternateContent>
        <mc:AlternateContent xmlns:mc="http://schemas.openxmlformats.org/markup-compatibility/2006">
          <mc:Choice Requires="x14">
            <control shapeId="10258" r:id="rId16" name="Check Box 18">
              <controlPr defaultSize="0" autoFill="0" autoLine="0" autoPict="0">
                <anchor moveWithCells="1">
                  <from>
                    <xdr:col>4</xdr:col>
                    <xdr:colOff>38100</xdr:colOff>
                    <xdr:row>79</xdr:row>
                    <xdr:rowOff>177800</xdr:rowOff>
                  </from>
                  <to>
                    <xdr:col>5</xdr:col>
                    <xdr:colOff>558800</xdr:colOff>
                    <xdr:row>79</xdr:row>
                    <xdr:rowOff>381000</xdr:rowOff>
                  </to>
                </anchor>
              </controlPr>
            </control>
          </mc:Choice>
        </mc:AlternateContent>
        <mc:AlternateContent xmlns:mc="http://schemas.openxmlformats.org/markup-compatibility/2006">
          <mc:Choice Requires="x14">
            <control shapeId="10262" r:id="rId17" name="Check Box 22">
              <controlPr defaultSize="0" autoFill="0" autoLine="0" autoPict="0">
                <anchor moveWithCells="1">
                  <from>
                    <xdr:col>4</xdr:col>
                    <xdr:colOff>38100</xdr:colOff>
                    <xdr:row>90</xdr:row>
                    <xdr:rowOff>177800</xdr:rowOff>
                  </from>
                  <to>
                    <xdr:col>5</xdr:col>
                    <xdr:colOff>558800</xdr:colOff>
                    <xdr:row>90</xdr:row>
                    <xdr:rowOff>381000</xdr:rowOff>
                  </to>
                </anchor>
              </controlPr>
            </control>
          </mc:Choice>
        </mc:AlternateContent>
        <mc:AlternateContent xmlns:mc="http://schemas.openxmlformats.org/markup-compatibility/2006">
          <mc:Choice Requires="x14">
            <control shapeId="10291" r:id="rId18" name="Check Box 51">
              <controlPr defaultSize="0" autoFill="0" autoLine="0" autoPict="0">
                <anchor moveWithCells="1">
                  <from>
                    <xdr:col>4</xdr:col>
                    <xdr:colOff>38100</xdr:colOff>
                    <xdr:row>28</xdr:row>
                    <xdr:rowOff>177800</xdr:rowOff>
                  </from>
                  <to>
                    <xdr:col>5</xdr:col>
                    <xdr:colOff>565150</xdr:colOff>
                    <xdr:row>28</xdr:row>
                    <xdr:rowOff>381000</xdr:rowOff>
                  </to>
                </anchor>
              </controlPr>
            </control>
          </mc:Choice>
        </mc:AlternateContent>
        <mc:AlternateContent xmlns:mc="http://schemas.openxmlformats.org/markup-compatibility/2006">
          <mc:Choice Requires="x14">
            <control shapeId="10292" r:id="rId19" name="Check Box 52">
              <controlPr defaultSize="0" autoFill="0" autoLine="0" autoPict="0">
                <anchor moveWithCells="1">
                  <from>
                    <xdr:col>4</xdr:col>
                    <xdr:colOff>38100</xdr:colOff>
                    <xdr:row>27</xdr:row>
                    <xdr:rowOff>184150</xdr:rowOff>
                  </from>
                  <to>
                    <xdr:col>5</xdr:col>
                    <xdr:colOff>565150</xdr:colOff>
                    <xdr:row>27</xdr:row>
                    <xdr:rowOff>406400</xdr:rowOff>
                  </to>
                </anchor>
              </controlPr>
            </control>
          </mc:Choice>
        </mc:AlternateContent>
        <mc:AlternateContent xmlns:mc="http://schemas.openxmlformats.org/markup-compatibility/2006">
          <mc:Choice Requires="x14">
            <control shapeId="10293" r:id="rId20" name="Check Box 53">
              <controlPr defaultSize="0" autoFill="0" autoLine="0" autoPict="0">
                <anchor moveWithCells="1">
                  <from>
                    <xdr:col>4</xdr:col>
                    <xdr:colOff>38100</xdr:colOff>
                    <xdr:row>29</xdr:row>
                    <xdr:rowOff>177800</xdr:rowOff>
                  </from>
                  <to>
                    <xdr:col>5</xdr:col>
                    <xdr:colOff>565150</xdr:colOff>
                    <xdr:row>29</xdr:row>
                    <xdr:rowOff>381000</xdr:rowOff>
                  </to>
                </anchor>
              </controlPr>
            </control>
          </mc:Choice>
        </mc:AlternateContent>
        <mc:AlternateContent xmlns:mc="http://schemas.openxmlformats.org/markup-compatibility/2006">
          <mc:Choice Requires="x14">
            <control shapeId="10294" r:id="rId21" name="Check Box 54">
              <controlPr defaultSize="0" autoFill="0" autoLine="0" autoPict="0">
                <anchor moveWithCells="1">
                  <from>
                    <xdr:col>4</xdr:col>
                    <xdr:colOff>38100</xdr:colOff>
                    <xdr:row>30</xdr:row>
                    <xdr:rowOff>177800</xdr:rowOff>
                  </from>
                  <to>
                    <xdr:col>5</xdr:col>
                    <xdr:colOff>565150</xdr:colOff>
                    <xdr:row>30</xdr:row>
                    <xdr:rowOff>381000</xdr:rowOff>
                  </to>
                </anchor>
              </controlPr>
            </control>
          </mc:Choice>
        </mc:AlternateContent>
        <mc:AlternateContent xmlns:mc="http://schemas.openxmlformats.org/markup-compatibility/2006">
          <mc:Choice Requires="x14">
            <control shapeId="10295" r:id="rId22" name="Check Box 55">
              <controlPr defaultSize="0" autoFill="0" autoLine="0" autoPict="0">
                <anchor moveWithCells="1">
                  <from>
                    <xdr:col>4</xdr:col>
                    <xdr:colOff>38100</xdr:colOff>
                    <xdr:row>31</xdr:row>
                    <xdr:rowOff>177800</xdr:rowOff>
                  </from>
                  <to>
                    <xdr:col>5</xdr:col>
                    <xdr:colOff>565150</xdr:colOff>
                    <xdr:row>31</xdr:row>
                    <xdr:rowOff>381000</xdr:rowOff>
                  </to>
                </anchor>
              </controlPr>
            </control>
          </mc:Choice>
        </mc:AlternateContent>
        <mc:AlternateContent xmlns:mc="http://schemas.openxmlformats.org/markup-compatibility/2006">
          <mc:Choice Requires="x14">
            <control shapeId="10296" r:id="rId23" name="Check Box 56">
              <controlPr defaultSize="0" autoFill="0" autoLine="0" autoPict="0">
                <anchor moveWithCells="1">
                  <from>
                    <xdr:col>4</xdr:col>
                    <xdr:colOff>38100</xdr:colOff>
                    <xdr:row>32</xdr:row>
                    <xdr:rowOff>177800</xdr:rowOff>
                  </from>
                  <to>
                    <xdr:col>5</xdr:col>
                    <xdr:colOff>565150</xdr:colOff>
                    <xdr:row>32</xdr:row>
                    <xdr:rowOff>381000</xdr:rowOff>
                  </to>
                </anchor>
              </controlPr>
            </control>
          </mc:Choice>
        </mc:AlternateContent>
        <mc:AlternateContent xmlns:mc="http://schemas.openxmlformats.org/markup-compatibility/2006">
          <mc:Choice Requires="x14">
            <control shapeId="10297" r:id="rId24" name="Check Box 57">
              <controlPr defaultSize="0" autoFill="0" autoLine="0" autoPict="0">
                <anchor moveWithCells="1">
                  <from>
                    <xdr:col>4</xdr:col>
                    <xdr:colOff>38100</xdr:colOff>
                    <xdr:row>34</xdr:row>
                    <xdr:rowOff>177800</xdr:rowOff>
                  </from>
                  <to>
                    <xdr:col>5</xdr:col>
                    <xdr:colOff>565150</xdr:colOff>
                    <xdr:row>34</xdr:row>
                    <xdr:rowOff>381000</xdr:rowOff>
                  </to>
                </anchor>
              </controlPr>
            </control>
          </mc:Choice>
        </mc:AlternateContent>
        <mc:AlternateContent xmlns:mc="http://schemas.openxmlformats.org/markup-compatibility/2006">
          <mc:Choice Requires="x14">
            <control shapeId="10298" r:id="rId25" name="Check Box 58">
              <controlPr defaultSize="0" autoFill="0" autoLine="0" autoPict="0">
                <anchor moveWithCells="1">
                  <from>
                    <xdr:col>4</xdr:col>
                    <xdr:colOff>38100</xdr:colOff>
                    <xdr:row>35</xdr:row>
                    <xdr:rowOff>177800</xdr:rowOff>
                  </from>
                  <to>
                    <xdr:col>5</xdr:col>
                    <xdr:colOff>565150</xdr:colOff>
                    <xdr:row>35</xdr:row>
                    <xdr:rowOff>381000</xdr:rowOff>
                  </to>
                </anchor>
              </controlPr>
            </control>
          </mc:Choice>
        </mc:AlternateContent>
        <mc:AlternateContent xmlns:mc="http://schemas.openxmlformats.org/markup-compatibility/2006">
          <mc:Choice Requires="x14">
            <control shapeId="10299" r:id="rId26" name="Check Box 59">
              <controlPr defaultSize="0" autoFill="0" autoLine="0" autoPict="0">
                <anchor moveWithCells="1">
                  <from>
                    <xdr:col>4</xdr:col>
                    <xdr:colOff>38100</xdr:colOff>
                    <xdr:row>36</xdr:row>
                    <xdr:rowOff>177800</xdr:rowOff>
                  </from>
                  <to>
                    <xdr:col>5</xdr:col>
                    <xdr:colOff>565150</xdr:colOff>
                    <xdr:row>36</xdr:row>
                    <xdr:rowOff>381000</xdr:rowOff>
                  </to>
                </anchor>
              </controlPr>
            </control>
          </mc:Choice>
        </mc:AlternateContent>
        <mc:AlternateContent xmlns:mc="http://schemas.openxmlformats.org/markup-compatibility/2006">
          <mc:Choice Requires="x14">
            <control shapeId="10300" r:id="rId27" name="Check Box 60">
              <controlPr defaultSize="0" autoFill="0" autoLine="0" autoPict="0">
                <anchor moveWithCells="1">
                  <from>
                    <xdr:col>4</xdr:col>
                    <xdr:colOff>38100</xdr:colOff>
                    <xdr:row>38</xdr:row>
                    <xdr:rowOff>177800</xdr:rowOff>
                  </from>
                  <to>
                    <xdr:col>5</xdr:col>
                    <xdr:colOff>565150</xdr:colOff>
                    <xdr:row>38</xdr:row>
                    <xdr:rowOff>381000</xdr:rowOff>
                  </to>
                </anchor>
              </controlPr>
            </control>
          </mc:Choice>
        </mc:AlternateContent>
        <mc:AlternateContent xmlns:mc="http://schemas.openxmlformats.org/markup-compatibility/2006">
          <mc:Choice Requires="x14">
            <control shapeId="10301" r:id="rId28" name="Check Box 61">
              <controlPr defaultSize="0" autoFill="0" autoLine="0" autoPict="0">
                <anchor moveWithCells="1">
                  <from>
                    <xdr:col>4</xdr:col>
                    <xdr:colOff>38100</xdr:colOff>
                    <xdr:row>39</xdr:row>
                    <xdr:rowOff>177800</xdr:rowOff>
                  </from>
                  <to>
                    <xdr:col>5</xdr:col>
                    <xdr:colOff>565150</xdr:colOff>
                    <xdr:row>39</xdr:row>
                    <xdr:rowOff>381000</xdr:rowOff>
                  </to>
                </anchor>
              </controlPr>
            </control>
          </mc:Choice>
        </mc:AlternateContent>
        <mc:AlternateContent xmlns:mc="http://schemas.openxmlformats.org/markup-compatibility/2006">
          <mc:Choice Requires="x14">
            <control shapeId="10302" r:id="rId29" name="Check Box 62">
              <controlPr defaultSize="0" autoFill="0" autoLine="0" autoPict="0">
                <anchor moveWithCells="1">
                  <from>
                    <xdr:col>4</xdr:col>
                    <xdr:colOff>38100</xdr:colOff>
                    <xdr:row>40</xdr:row>
                    <xdr:rowOff>177800</xdr:rowOff>
                  </from>
                  <to>
                    <xdr:col>5</xdr:col>
                    <xdr:colOff>565150</xdr:colOff>
                    <xdr:row>40</xdr:row>
                    <xdr:rowOff>381000</xdr:rowOff>
                  </to>
                </anchor>
              </controlPr>
            </control>
          </mc:Choice>
        </mc:AlternateContent>
        <mc:AlternateContent xmlns:mc="http://schemas.openxmlformats.org/markup-compatibility/2006">
          <mc:Choice Requires="x14">
            <control shapeId="10303" r:id="rId30" name="Check Box 63">
              <controlPr defaultSize="0" autoFill="0" autoLine="0" autoPict="0">
                <anchor moveWithCells="1">
                  <from>
                    <xdr:col>4</xdr:col>
                    <xdr:colOff>38100</xdr:colOff>
                    <xdr:row>41</xdr:row>
                    <xdr:rowOff>177800</xdr:rowOff>
                  </from>
                  <to>
                    <xdr:col>5</xdr:col>
                    <xdr:colOff>565150</xdr:colOff>
                    <xdr:row>41</xdr:row>
                    <xdr:rowOff>381000</xdr:rowOff>
                  </to>
                </anchor>
              </controlPr>
            </control>
          </mc:Choice>
        </mc:AlternateContent>
        <mc:AlternateContent xmlns:mc="http://schemas.openxmlformats.org/markup-compatibility/2006">
          <mc:Choice Requires="x14">
            <control shapeId="10304" r:id="rId31" name="Check Box 64">
              <controlPr defaultSize="0" autoFill="0" autoLine="0" autoPict="0">
                <anchor moveWithCells="1">
                  <from>
                    <xdr:col>4</xdr:col>
                    <xdr:colOff>38100</xdr:colOff>
                    <xdr:row>42</xdr:row>
                    <xdr:rowOff>177800</xdr:rowOff>
                  </from>
                  <to>
                    <xdr:col>5</xdr:col>
                    <xdr:colOff>565150</xdr:colOff>
                    <xdr:row>42</xdr:row>
                    <xdr:rowOff>381000</xdr:rowOff>
                  </to>
                </anchor>
              </controlPr>
            </control>
          </mc:Choice>
        </mc:AlternateContent>
        <mc:AlternateContent xmlns:mc="http://schemas.openxmlformats.org/markup-compatibility/2006">
          <mc:Choice Requires="x14">
            <control shapeId="10305" r:id="rId32" name="Check Box 65">
              <controlPr defaultSize="0" autoFill="0" autoLine="0" autoPict="0">
                <anchor moveWithCells="1">
                  <from>
                    <xdr:col>4</xdr:col>
                    <xdr:colOff>38100</xdr:colOff>
                    <xdr:row>43</xdr:row>
                    <xdr:rowOff>177800</xdr:rowOff>
                  </from>
                  <to>
                    <xdr:col>5</xdr:col>
                    <xdr:colOff>565150</xdr:colOff>
                    <xdr:row>43</xdr:row>
                    <xdr:rowOff>381000</xdr:rowOff>
                  </to>
                </anchor>
              </controlPr>
            </control>
          </mc:Choice>
        </mc:AlternateContent>
        <mc:AlternateContent xmlns:mc="http://schemas.openxmlformats.org/markup-compatibility/2006">
          <mc:Choice Requires="x14">
            <control shapeId="10306" r:id="rId33" name="Check Box 66">
              <controlPr defaultSize="0" autoFill="0" autoLine="0" autoPict="0">
                <anchor moveWithCells="1">
                  <from>
                    <xdr:col>4</xdr:col>
                    <xdr:colOff>38100</xdr:colOff>
                    <xdr:row>55</xdr:row>
                    <xdr:rowOff>177800</xdr:rowOff>
                  </from>
                  <to>
                    <xdr:col>5</xdr:col>
                    <xdr:colOff>565150</xdr:colOff>
                    <xdr:row>55</xdr:row>
                    <xdr:rowOff>381000</xdr:rowOff>
                  </to>
                </anchor>
              </controlPr>
            </control>
          </mc:Choice>
        </mc:AlternateContent>
        <mc:AlternateContent xmlns:mc="http://schemas.openxmlformats.org/markup-compatibility/2006">
          <mc:Choice Requires="x14">
            <control shapeId="10307" r:id="rId34" name="Check Box 67">
              <controlPr defaultSize="0" autoFill="0" autoLine="0" autoPict="0">
                <anchor moveWithCells="1">
                  <from>
                    <xdr:col>4</xdr:col>
                    <xdr:colOff>38100</xdr:colOff>
                    <xdr:row>56</xdr:row>
                    <xdr:rowOff>177800</xdr:rowOff>
                  </from>
                  <to>
                    <xdr:col>5</xdr:col>
                    <xdr:colOff>565150</xdr:colOff>
                    <xdr:row>56</xdr:row>
                    <xdr:rowOff>381000</xdr:rowOff>
                  </to>
                </anchor>
              </controlPr>
            </control>
          </mc:Choice>
        </mc:AlternateContent>
        <mc:AlternateContent xmlns:mc="http://schemas.openxmlformats.org/markup-compatibility/2006">
          <mc:Choice Requires="x14">
            <control shapeId="10308" r:id="rId35" name="Check Box 68">
              <controlPr defaultSize="0" autoFill="0" autoLine="0" autoPict="0">
                <anchor moveWithCells="1">
                  <from>
                    <xdr:col>4</xdr:col>
                    <xdr:colOff>38100</xdr:colOff>
                    <xdr:row>66</xdr:row>
                    <xdr:rowOff>177800</xdr:rowOff>
                  </from>
                  <to>
                    <xdr:col>5</xdr:col>
                    <xdr:colOff>565150</xdr:colOff>
                    <xdr:row>66</xdr:row>
                    <xdr:rowOff>381000</xdr:rowOff>
                  </to>
                </anchor>
              </controlPr>
            </control>
          </mc:Choice>
        </mc:AlternateContent>
        <mc:AlternateContent xmlns:mc="http://schemas.openxmlformats.org/markup-compatibility/2006">
          <mc:Choice Requires="x14">
            <control shapeId="10309" r:id="rId36" name="Check Box 69">
              <controlPr defaultSize="0" autoFill="0" autoLine="0" autoPict="0">
                <anchor moveWithCells="1">
                  <from>
                    <xdr:col>4</xdr:col>
                    <xdr:colOff>38100</xdr:colOff>
                    <xdr:row>67</xdr:row>
                    <xdr:rowOff>177800</xdr:rowOff>
                  </from>
                  <to>
                    <xdr:col>5</xdr:col>
                    <xdr:colOff>565150</xdr:colOff>
                    <xdr:row>67</xdr:row>
                    <xdr:rowOff>381000</xdr:rowOff>
                  </to>
                </anchor>
              </controlPr>
            </control>
          </mc:Choice>
        </mc:AlternateContent>
        <mc:AlternateContent xmlns:mc="http://schemas.openxmlformats.org/markup-compatibility/2006">
          <mc:Choice Requires="x14">
            <control shapeId="10310" r:id="rId37" name="Check Box 70">
              <controlPr defaultSize="0" autoFill="0" autoLine="0" autoPict="0">
                <anchor moveWithCells="1">
                  <from>
                    <xdr:col>4</xdr:col>
                    <xdr:colOff>38100</xdr:colOff>
                    <xdr:row>90</xdr:row>
                    <xdr:rowOff>177800</xdr:rowOff>
                  </from>
                  <to>
                    <xdr:col>5</xdr:col>
                    <xdr:colOff>565150</xdr:colOff>
                    <xdr:row>90</xdr:row>
                    <xdr:rowOff>381000</xdr:rowOff>
                  </to>
                </anchor>
              </controlPr>
            </control>
          </mc:Choice>
        </mc:AlternateContent>
        <mc:AlternateContent xmlns:mc="http://schemas.openxmlformats.org/markup-compatibility/2006">
          <mc:Choice Requires="x14">
            <control shapeId="10311" r:id="rId38" name="Check Box 71">
              <controlPr defaultSize="0" autoFill="0" autoLine="0" autoPict="0">
                <anchor moveWithCells="1">
                  <from>
                    <xdr:col>4</xdr:col>
                    <xdr:colOff>38100</xdr:colOff>
                    <xdr:row>77</xdr:row>
                    <xdr:rowOff>177800</xdr:rowOff>
                  </from>
                  <to>
                    <xdr:col>5</xdr:col>
                    <xdr:colOff>565150</xdr:colOff>
                    <xdr:row>77</xdr:row>
                    <xdr:rowOff>381000</xdr:rowOff>
                  </to>
                </anchor>
              </controlPr>
            </control>
          </mc:Choice>
        </mc:AlternateContent>
        <mc:AlternateContent xmlns:mc="http://schemas.openxmlformats.org/markup-compatibility/2006">
          <mc:Choice Requires="x14">
            <control shapeId="10312" r:id="rId39" name="Check Box 72">
              <controlPr defaultSize="0" autoFill="0" autoLine="0" autoPict="0">
                <anchor moveWithCells="1">
                  <from>
                    <xdr:col>4</xdr:col>
                    <xdr:colOff>38100</xdr:colOff>
                    <xdr:row>78</xdr:row>
                    <xdr:rowOff>177800</xdr:rowOff>
                  </from>
                  <to>
                    <xdr:col>5</xdr:col>
                    <xdr:colOff>565150</xdr:colOff>
                    <xdr:row>78</xdr:row>
                    <xdr:rowOff>381000</xdr:rowOff>
                  </to>
                </anchor>
              </controlPr>
            </control>
          </mc:Choice>
        </mc:AlternateContent>
        <mc:AlternateContent xmlns:mc="http://schemas.openxmlformats.org/markup-compatibility/2006">
          <mc:Choice Requires="x14">
            <control shapeId="10313" r:id="rId40" name="Check Box 73">
              <controlPr defaultSize="0" autoFill="0" autoLine="0" autoPict="0">
                <anchor moveWithCells="1">
                  <from>
                    <xdr:col>4</xdr:col>
                    <xdr:colOff>38100</xdr:colOff>
                    <xdr:row>79</xdr:row>
                    <xdr:rowOff>177800</xdr:rowOff>
                  </from>
                  <to>
                    <xdr:col>5</xdr:col>
                    <xdr:colOff>565150</xdr:colOff>
                    <xdr:row>79</xdr:row>
                    <xdr:rowOff>381000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AE144"/>
  <sheetViews>
    <sheetView topLeftCell="T1" zoomScale="70" zoomScaleNormal="70" workbookViewId="0">
      <pane ySplit="5" topLeftCell="A6" activePane="bottomLeft" state="frozen"/>
      <selection pane="bottomLeft" activeCell="X64" sqref="X64"/>
    </sheetView>
  </sheetViews>
  <sheetFormatPr defaultColWidth="9" defaultRowHeight="14" x14ac:dyDescent="0.3"/>
  <cols>
    <col min="1" max="3" width="9" style="87" customWidth="1"/>
    <col min="4" max="4" width="2.6640625" style="87" customWidth="1"/>
    <col min="5" max="5" width="4" style="87" customWidth="1"/>
    <col min="6" max="6" width="24" style="5" customWidth="1"/>
    <col min="7" max="7" width="47.6640625" style="5" customWidth="1"/>
    <col min="8" max="8" width="9.58203125" style="3" customWidth="1"/>
    <col min="9" max="9" width="42.6640625" style="5" customWidth="1"/>
    <col min="10" max="11" width="14" style="3" customWidth="1"/>
    <col min="12" max="12" width="14" style="6" customWidth="1"/>
    <col min="13" max="16" width="14" style="3" customWidth="1"/>
    <col min="17" max="17" width="24" style="106" customWidth="1"/>
    <col min="18" max="18" width="9.1640625" style="6" customWidth="1"/>
    <col min="19" max="19" width="57.1640625" style="134" customWidth="1"/>
    <col min="20" max="20" width="9" style="6"/>
    <col min="21" max="21" width="8.58203125" style="153" customWidth="1"/>
    <col min="22" max="25" width="54.58203125" style="128" customWidth="1"/>
    <col min="26" max="26" width="9" style="6" customWidth="1"/>
    <col min="27" max="27" width="31.1640625" style="6" customWidth="1"/>
    <col min="28" max="28" width="9" style="6" customWidth="1"/>
    <col min="29" max="30" width="15.6640625" style="6" customWidth="1"/>
    <col min="31" max="34" width="9" style="6" customWidth="1"/>
    <col min="35" max="16384" width="9" style="6"/>
  </cols>
  <sheetData>
    <row r="1" spans="1:31" ht="43.5" customHeight="1" x14ac:dyDescent="1.05">
      <c r="A1" s="87" t="s">
        <v>47</v>
      </c>
      <c r="B1" s="87" t="s">
        <v>47</v>
      </c>
      <c r="C1" s="87" t="s">
        <v>47</v>
      </c>
      <c r="F1" s="498" t="s">
        <v>549</v>
      </c>
      <c r="G1" s="499"/>
      <c r="H1" s="499"/>
      <c r="I1" s="499"/>
      <c r="J1" s="1"/>
      <c r="K1" s="1"/>
      <c r="L1" s="2"/>
      <c r="O1" s="3" t="s">
        <v>47</v>
      </c>
      <c r="P1" s="3" t="s">
        <v>47</v>
      </c>
      <c r="Q1" s="102"/>
      <c r="R1" s="4"/>
      <c r="T1" s="4"/>
      <c r="U1" s="529" t="s">
        <v>550</v>
      </c>
      <c r="V1" s="530"/>
      <c r="W1" s="530"/>
      <c r="X1" s="155" t="s">
        <v>551</v>
      </c>
      <c r="Y1" s="154" t="s">
        <v>552</v>
      </c>
      <c r="AA1" s="6" t="s">
        <v>47</v>
      </c>
      <c r="AB1" s="6" t="s">
        <v>47</v>
      </c>
      <c r="AC1" s="6" t="s">
        <v>47</v>
      </c>
      <c r="AD1" s="6" t="s">
        <v>47</v>
      </c>
    </row>
    <row r="2" spans="1:31" ht="37.5" customHeight="1" thickBot="1" x14ac:dyDescent="0.35">
      <c r="A2" s="246" t="s">
        <v>352</v>
      </c>
      <c r="B2" s="246" t="s">
        <v>353</v>
      </c>
      <c r="C2" s="247" t="s">
        <v>354</v>
      </c>
      <c r="F2" s="240" t="s">
        <v>355</v>
      </c>
      <c r="G2" s="500" t="e">
        <f>#REF!</f>
        <v>#REF!</v>
      </c>
      <c r="H2" s="501"/>
      <c r="I2" s="7"/>
      <c r="J2" s="8" t="s">
        <v>356</v>
      </c>
      <c r="K2" s="8" t="s">
        <v>357</v>
      </c>
      <c r="L2" s="9"/>
      <c r="M2" s="8" t="s">
        <v>553</v>
      </c>
      <c r="N2" s="8" t="s">
        <v>257</v>
      </c>
      <c r="O2" s="10"/>
      <c r="P2" s="10"/>
      <c r="Q2" s="103"/>
      <c r="R2" s="11"/>
      <c r="T2" s="12"/>
      <c r="U2" s="531" t="s">
        <v>554</v>
      </c>
      <c r="V2" s="532"/>
      <c r="W2" s="533"/>
      <c r="X2" s="158"/>
      <c r="Y2" s="12"/>
    </row>
    <row r="3" spans="1:31" ht="45" customHeight="1" thickBot="1" x14ac:dyDescent="0.35">
      <c r="F3" s="13" t="s">
        <v>261</v>
      </c>
      <c r="G3" s="502" t="str">
        <f>IF(K3&gt;=75,"6 Stars - World Excellence",IF(K3&gt;=60,"5 Star - Australian Excellence",IF(K3&gt;=45,"4 Star - Best Practice","")))</f>
        <v/>
      </c>
      <c r="H3" s="503"/>
      <c r="I3" s="14"/>
      <c r="J3" s="77">
        <f>J125</f>
        <v>100</v>
      </c>
      <c r="K3" s="78">
        <f>K128</f>
        <v>0</v>
      </c>
      <c r="L3" s="9"/>
      <c r="M3" s="100">
        <f>M125</f>
        <v>0</v>
      </c>
      <c r="N3" s="100">
        <f>N125</f>
        <v>0</v>
      </c>
      <c r="O3" s="15"/>
      <c r="P3" s="96" t="str">
        <f>IF(Q138&lt;=SUM(P134:P135),"",R138)</f>
        <v/>
      </c>
      <c r="Q3" s="104"/>
      <c r="R3" s="11"/>
      <c r="S3" s="135"/>
      <c r="T3" s="12"/>
      <c r="U3" s="534"/>
      <c r="V3" s="535"/>
      <c r="W3" s="536"/>
      <c r="X3" s="158"/>
      <c r="Y3" s="12"/>
    </row>
    <row r="4" spans="1:31" ht="37.5" customHeight="1" x14ac:dyDescent="0.3">
      <c r="G4" s="16"/>
      <c r="H4" s="1"/>
      <c r="I4" s="16"/>
      <c r="J4" s="1"/>
      <c r="K4" s="1"/>
      <c r="L4" s="9"/>
      <c r="M4" s="1"/>
      <c r="N4" s="1"/>
      <c r="O4" s="1"/>
      <c r="P4" s="1"/>
      <c r="Q4" s="102"/>
      <c r="R4" s="4"/>
      <c r="S4" s="136"/>
      <c r="T4" s="4"/>
      <c r="U4" s="1"/>
      <c r="V4" s="4"/>
      <c r="W4" s="4"/>
      <c r="X4" s="4"/>
      <c r="Y4" s="4"/>
    </row>
    <row r="5" spans="1:31" ht="45" customHeight="1" x14ac:dyDescent="0.3">
      <c r="E5" s="88" t="s">
        <v>358</v>
      </c>
      <c r="F5" s="17" t="s">
        <v>265</v>
      </c>
      <c r="G5" s="17" t="s">
        <v>359</v>
      </c>
      <c r="H5" s="8" t="s">
        <v>266</v>
      </c>
      <c r="I5" s="17" t="s">
        <v>360</v>
      </c>
      <c r="J5" s="8" t="s">
        <v>267</v>
      </c>
      <c r="K5" s="8" t="s">
        <v>268</v>
      </c>
      <c r="L5" s="18"/>
      <c r="M5" s="8" t="s">
        <v>269</v>
      </c>
      <c r="N5" s="8" t="s">
        <v>270</v>
      </c>
      <c r="O5" s="8" t="s">
        <v>555</v>
      </c>
      <c r="P5" s="8" t="s">
        <v>556</v>
      </c>
      <c r="Q5" s="105" t="s">
        <v>557</v>
      </c>
      <c r="R5" s="5"/>
      <c r="S5" s="121" t="s">
        <v>558</v>
      </c>
      <c r="T5" s="4"/>
      <c r="U5" s="156" t="s">
        <v>559</v>
      </c>
      <c r="V5" s="156" t="s">
        <v>560</v>
      </c>
      <c r="W5" s="156" t="s">
        <v>561</v>
      </c>
      <c r="X5" s="156" t="s">
        <v>562</v>
      </c>
      <c r="Y5" s="156" t="s">
        <v>563</v>
      </c>
    </row>
    <row r="6" spans="1:31" ht="45" customHeight="1" x14ac:dyDescent="0.3">
      <c r="F6" s="186" t="s">
        <v>362</v>
      </c>
      <c r="G6" s="187"/>
      <c r="H6" s="188"/>
      <c r="I6" s="187"/>
      <c r="J6" s="188">
        <f>14-SUM(B7:B23)</f>
        <v>14</v>
      </c>
      <c r="K6" s="188"/>
      <c r="L6" s="18"/>
      <c r="M6" s="8"/>
      <c r="N6" s="8"/>
      <c r="O6" s="8"/>
      <c r="P6" s="8"/>
      <c r="Q6" s="105"/>
      <c r="R6" s="5"/>
      <c r="S6" s="121"/>
      <c r="T6" s="4"/>
      <c r="U6" s="157" t="s">
        <v>564</v>
      </c>
      <c r="V6" s="159" t="s">
        <v>565</v>
      </c>
      <c r="W6" s="159" t="s">
        <v>566</v>
      </c>
      <c r="X6" s="156"/>
      <c r="Y6" s="156"/>
      <c r="AC6" s="241"/>
      <c r="AD6" s="241"/>
      <c r="AE6" s="65"/>
    </row>
    <row r="7" spans="1:31" ht="45" customHeight="1" x14ac:dyDescent="0.3">
      <c r="F7" s="189" t="s">
        <v>369</v>
      </c>
      <c r="G7" s="168" t="s">
        <v>567</v>
      </c>
      <c r="H7" s="19">
        <v>1</v>
      </c>
      <c r="I7" s="168" t="s">
        <v>371</v>
      </c>
      <c r="J7" s="20">
        <v>1</v>
      </c>
      <c r="K7" s="21"/>
      <c r="L7" s="22"/>
      <c r="M7" s="23" t="str">
        <f>IF(OR(Q7=$AC$9,Q7=$AC$10),K7,"")</f>
        <v/>
      </c>
      <c r="N7" s="23" t="str">
        <f t="shared" ref="N7:N23" si="0">IF(Q7=$AC$11,K7,"")</f>
        <v/>
      </c>
      <c r="O7" s="23"/>
      <c r="P7" s="23"/>
      <c r="Q7" s="226"/>
      <c r="R7" s="85"/>
      <c r="S7" s="227"/>
      <c r="T7" s="4"/>
      <c r="U7" s="228"/>
      <c r="V7" s="229"/>
      <c r="W7" s="229"/>
      <c r="X7" s="229"/>
      <c r="Y7" s="229"/>
      <c r="AC7" s="241"/>
      <c r="AD7" s="241"/>
      <c r="AE7" s="65"/>
    </row>
    <row r="8" spans="1:31" ht="45" customHeight="1" x14ac:dyDescent="0.3">
      <c r="F8" s="493" t="s">
        <v>372</v>
      </c>
      <c r="G8" s="504" t="s">
        <v>568</v>
      </c>
      <c r="H8" s="191">
        <v>2</v>
      </c>
      <c r="I8" s="27" t="s">
        <v>374</v>
      </c>
      <c r="J8" s="211" t="s">
        <v>569</v>
      </c>
      <c r="K8" s="25"/>
      <c r="L8" s="22"/>
      <c r="M8" s="23" t="str">
        <f t="shared" ref="M8:M23" si="1">IF(OR(Q8=$AC$9,Q8=$AC$10),K8,"")</f>
        <v/>
      </c>
      <c r="N8" s="23" t="str">
        <f t="shared" si="0"/>
        <v/>
      </c>
      <c r="O8" s="23"/>
      <c r="P8" s="23"/>
      <c r="Q8" s="226"/>
      <c r="R8" s="85"/>
      <c r="S8" s="227"/>
      <c r="T8" s="4"/>
      <c r="U8" s="228"/>
      <c r="V8" s="229"/>
      <c r="W8" s="229"/>
      <c r="X8" s="229"/>
      <c r="Y8" s="229"/>
      <c r="AA8" s="242" t="s">
        <v>376</v>
      </c>
      <c r="AB8" s="242"/>
      <c r="AC8" s="241"/>
      <c r="AD8" s="241" t="s">
        <v>286</v>
      </c>
      <c r="AE8" s="65"/>
    </row>
    <row r="9" spans="1:31" ht="45" customHeight="1" x14ac:dyDescent="0.3">
      <c r="F9" s="496"/>
      <c r="G9" s="505"/>
      <c r="H9" s="26">
        <v>2.1</v>
      </c>
      <c r="I9" s="27" t="s">
        <v>378</v>
      </c>
      <c r="J9" s="28">
        <v>1</v>
      </c>
      <c r="K9" s="21"/>
      <c r="L9" s="22" t="str">
        <f>IF(AND(K9&gt;0,$K$8&lt;&gt;$AD$8),"!","")</f>
        <v/>
      </c>
      <c r="M9" s="23" t="str">
        <f t="shared" si="1"/>
        <v/>
      </c>
      <c r="N9" s="23" t="str">
        <f t="shared" si="0"/>
        <v/>
      </c>
      <c r="O9" s="23"/>
      <c r="P9" s="23"/>
      <c r="Q9" s="226"/>
      <c r="R9" s="85"/>
      <c r="S9" s="227"/>
      <c r="T9" s="4"/>
      <c r="U9" s="228"/>
      <c r="V9" s="229"/>
      <c r="W9" s="229"/>
      <c r="X9" s="229"/>
      <c r="Y9" s="229"/>
      <c r="AA9" s="242" t="s">
        <v>379</v>
      </c>
      <c r="AB9" s="242" t="s">
        <v>288</v>
      </c>
      <c r="AC9" s="241" t="s">
        <v>289</v>
      </c>
      <c r="AD9" s="241" t="s">
        <v>290</v>
      </c>
      <c r="AE9" s="65"/>
    </row>
    <row r="10" spans="1:31" ht="45" customHeight="1" x14ac:dyDescent="0.3">
      <c r="F10" s="496"/>
      <c r="G10" s="505"/>
      <c r="H10" s="26">
        <v>2.2000000000000002</v>
      </c>
      <c r="I10" s="27" t="s">
        <v>381</v>
      </c>
      <c r="J10" s="28">
        <v>1</v>
      </c>
      <c r="K10" s="21"/>
      <c r="L10" s="22" t="str">
        <f t="shared" ref="L10:L16" si="2">IF(AND(K10&gt;0,$K$8&lt;&gt;$AD$8),"!","")</f>
        <v/>
      </c>
      <c r="M10" s="23" t="str">
        <f t="shared" si="1"/>
        <v/>
      </c>
      <c r="N10" s="23" t="str">
        <f t="shared" si="0"/>
        <v/>
      </c>
      <c r="O10" s="23"/>
      <c r="P10" s="23"/>
      <c r="Q10" s="226"/>
      <c r="R10" s="85"/>
      <c r="S10" s="227"/>
      <c r="T10" s="4"/>
      <c r="U10" s="228"/>
      <c r="V10" s="229"/>
      <c r="W10" s="229"/>
      <c r="X10" s="229"/>
      <c r="Y10" s="229"/>
      <c r="AB10" s="242" t="s">
        <v>292</v>
      </c>
      <c r="AC10" s="241" t="s">
        <v>293</v>
      </c>
      <c r="AD10" s="65"/>
      <c r="AE10" s="65"/>
    </row>
    <row r="11" spans="1:31" ht="45" customHeight="1" x14ac:dyDescent="0.3">
      <c r="F11" s="496"/>
      <c r="G11" s="505"/>
      <c r="H11" s="26">
        <v>2.2999999999999998</v>
      </c>
      <c r="I11" s="27" t="s">
        <v>383</v>
      </c>
      <c r="J11" s="28">
        <v>1</v>
      </c>
      <c r="K11" s="21"/>
      <c r="L11" s="22" t="str">
        <f t="shared" si="2"/>
        <v/>
      </c>
      <c r="M11" s="23" t="str">
        <f t="shared" si="1"/>
        <v/>
      </c>
      <c r="N11" s="23" t="str">
        <f t="shared" si="0"/>
        <v/>
      </c>
      <c r="O11" s="23"/>
      <c r="P11" s="23"/>
      <c r="Q11" s="226"/>
      <c r="R11" s="85"/>
      <c r="S11" s="227"/>
      <c r="T11" s="4"/>
      <c r="U11" s="228"/>
      <c r="V11" s="229"/>
      <c r="W11" s="229"/>
      <c r="X11" s="229"/>
      <c r="Y11" s="229"/>
      <c r="AB11" s="242" t="s">
        <v>295</v>
      </c>
      <c r="AC11" s="241" t="s">
        <v>296</v>
      </c>
      <c r="AD11" s="65"/>
      <c r="AE11" s="65"/>
    </row>
    <row r="12" spans="1:31" ht="45" customHeight="1" x14ac:dyDescent="0.3">
      <c r="F12" s="496"/>
      <c r="G12" s="505"/>
      <c r="H12" s="26">
        <v>2.4</v>
      </c>
      <c r="I12" s="27" t="s">
        <v>385</v>
      </c>
      <c r="J12" s="28">
        <v>1</v>
      </c>
      <c r="K12" s="21"/>
      <c r="L12" s="22" t="str">
        <f t="shared" si="2"/>
        <v/>
      </c>
      <c r="M12" s="23" t="str">
        <f t="shared" si="1"/>
        <v/>
      </c>
      <c r="N12" s="23" t="str">
        <f t="shared" si="0"/>
        <v/>
      </c>
      <c r="O12" s="23"/>
      <c r="P12" s="23"/>
      <c r="Q12" s="226"/>
      <c r="R12" s="85"/>
      <c r="S12" s="227"/>
      <c r="T12" s="4"/>
      <c r="U12" s="228"/>
      <c r="V12" s="229"/>
      <c r="W12" s="229"/>
      <c r="X12" s="229"/>
      <c r="Y12" s="229"/>
      <c r="AB12" s="242" t="s">
        <v>350</v>
      </c>
      <c r="AC12" s="241"/>
      <c r="AD12" s="65"/>
      <c r="AE12" s="65"/>
    </row>
    <row r="13" spans="1:31" ht="45" customHeight="1" x14ac:dyDescent="0.3">
      <c r="F13" s="189" t="s">
        <v>387</v>
      </c>
      <c r="G13" s="168" t="s">
        <v>388</v>
      </c>
      <c r="H13" s="19">
        <v>3.1</v>
      </c>
      <c r="I13" s="168" t="s">
        <v>389</v>
      </c>
      <c r="J13" s="20">
        <v>2</v>
      </c>
      <c r="K13" s="21"/>
      <c r="L13" s="22" t="str">
        <f t="shared" si="2"/>
        <v/>
      </c>
      <c r="M13" s="23" t="str">
        <f t="shared" si="1"/>
        <v/>
      </c>
      <c r="N13" s="23" t="str">
        <f t="shared" si="0"/>
        <v/>
      </c>
      <c r="O13" s="23"/>
      <c r="P13" s="23"/>
      <c r="Q13" s="226"/>
      <c r="R13" s="85"/>
      <c r="S13" s="227"/>
      <c r="T13" s="4"/>
      <c r="U13" s="228"/>
      <c r="V13" s="229"/>
      <c r="W13" s="229"/>
      <c r="X13" s="229"/>
      <c r="Y13" s="229"/>
      <c r="AC13" s="65"/>
      <c r="AD13" s="65"/>
      <c r="AE13" s="65"/>
    </row>
    <row r="14" spans="1:31" ht="87" customHeight="1" x14ac:dyDescent="0.3">
      <c r="F14" s="189" t="s">
        <v>393</v>
      </c>
      <c r="G14" s="166" t="s">
        <v>570</v>
      </c>
      <c r="H14" s="19">
        <v>4.0999999999999996</v>
      </c>
      <c r="I14" s="168" t="s">
        <v>393</v>
      </c>
      <c r="J14" s="20">
        <v>1</v>
      </c>
      <c r="K14" s="21"/>
      <c r="L14" s="22" t="str">
        <f t="shared" si="2"/>
        <v/>
      </c>
      <c r="M14" s="23" t="str">
        <f t="shared" si="1"/>
        <v/>
      </c>
      <c r="N14" s="23" t="str">
        <f t="shared" si="0"/>
        <v/>
      </c>
      <c r="O14" s="23"/>
      <c r="P14" s="23"/>
      <c r="Q14" s="226"/>
      <c r="R14" s="85"/>
      <c r="S14" s="227"/>
      <c r="T14" s="4"/>
      <c r="U14" s="228"/>
      <c r="V14" s="229"/>
      <c r="W14" s="229"/>
      <c r="X14" s="229"/>
      <c r="Y14" s="229"/>
      <c r="AC14" s="65"/>
      <c r="AD14" s="65"/>
      <c r="AE14" s="65"/>
    </row>
    <row r="15" spans="1:31" ht="45" customHeight="1" x14ac:dyDescent="0.3">
      <c r="F15" s="496" t="s">
        <v>396</v>
      </c>
      <c r="G15" s="497" t="s">
        <v>397</v>
      </c>
      <c r="H15" s="19">
        <v>5.0999999999999996</v>
      </c>
      <c r="I15" s="168" t="s">
        <v>398</v>
      </c>
      <c r="J15" s="20">
        <v>1</v>
      </c>
      <c r="K15" s="21"/>
      <c r="L15" s="22" t="str">
        <f t="shared" si="2"/>
        <v/>
      </c>
      <c r="M15" s="23" t="str">
        <f t="shared" si="1"/>
        <v/>
      </c>
      <c r="N15" s="23" t="str">
        <f t="shared" si="0"/>
        <v/>
      </c>
      <c r="O15" s="23"/>
      <c r="P15" s="23"/>
      <c r="Q15" s="226"/>
      <c r="R15" s="85"/>
      <c r="S15" s="227"/>
      <c r="T15" s="4"/>
      <c r="U15" s="228"/>
      <c r="V15" s="229"/>
      <c r="W15" s="229"/>
      <c r="X15" s="229"/>
      <c r="Y15" s="229"/>
      <c r="AC15" s="65"/>
      <c r="AD15" s="65"/>
      <c r="AE15" s="65"/>
    </row>
    <row r="16" spans="1:31" ht="45" customHeight="1" x14ac:dyDescent="0.3">
      <c r="F16" s="496"/>
      <c r="G16" s="497"/>
      <c r="H16" s="19">
        <v>5.2</v>
      </c>
      <c r="I16" s="168" t="s">
        <v>401</v>
      </c>
      <c r="J16" s="20">
        <v>1</v>
      </c>
      <c r="K16" s="21"/>
      <c r="L16" s="22" t="str">
        <f t="shared" si="2"/>
        <v/>
      </c>
      <c r="M16" s="23" t="str">
        <f t="shared" si="1"/>
        <v/>
      </c>
      <c r="N16" s="23" t="str">
        <f t="shared" si="0"/>
        <v/>
      </c>
      <c r="O16" s="23"/>
      <c r="P16" s="23"/>
      <c r="Q16" s="226"/>
      <c r="R16" s="85"/>
      <c r="S16" s="227"/>
      <c r="T16" s="4"/>
      <c r="U16" s="228"/>
      <c r="V16" s="229"/>
      <c r="W16" s="229"/>
      <c r="X16" s="229"/>
      <c r="Y16" s="229"/>
      <c r="AC16" s="65"/>
      <c r="AD16" s="65"/>
      <c r="AE16" s="65"/>
    </row>
    <row r="17" spans="1:31" ht="45" customHeight="1" x14ac:dyDescent="0.3">
      <c r="F17" s="496" t="s">
        <v>403</v>
      </c>
      <c r="G17" s="497" t="s">
        <v>404</v>
      </c>
      <c r="H17" s="19">
        <v>6</v>
      </c>
      <c r="I17" s="168" t="s">
        <v>405</v>
      </c>
      <c r="J17" s="20" t="s">
        <v>569</v>
      </c>
      <c r="K17" s="25"/>
      <c r="L17" s="22"/>
      <c r="M17" s="23" t="str">
        <f t="shared" si="1"/>
        <v/>
      </c>
      <c r="N17" s="23" t="str">
        <f t="shared" si="0"/>
        <v/>
      </c>
      <c r="O17" s="23"/>
      <c r="P17" s="23"/>
      <c r="Q17" s="226"/>
      <c r="R17" s="85"/>
      <c r="S17" s="227"/>
      <c r="T17" s="4"/>
      <c r="U17" s="228"/>
      <c r="V17" s="229"/>
      <c r="W17" s="229"/>
      <c r="X17" s="229"/>
      <c r="Y17" s="229"/>
      <c r="AC17" s="65"/>
      <c r="AD17" s="65"/>
      <c r="AE17" s="65"/>
    </row>
    <row r="18" spans="1:31" ht="45" customHeight="1" x14ac:dyDescent="0.3">
      <c r="F18" s="496"/>
      <c r="G18" s="497"/>
      <c r="H18" s="19">
        <v>6.1</v>
      </c>
      <c r="I18" s="168" t="s">
        <v>408</v>
      </c>
      <c r="J18" s="20">
        <v>1</v>
      </c>
      <c r="K18" s="21"/>
      <c r="L18" s="22" t="str">
        <f>IF(AND(K18&gt;0,$K$17&lt;&gt;$AD$8),"!","")</f>
        <v/>
      </c>
      <c r="M18" s="23" t="str">
        <f t="shared" si="1"/>
        <v/>
      </c>
      <c r="N18" s="23" t="str">
        <f t="shared" si="0"/>
        <v/>
      </c>
      <c r="O18" s="23"/>
      <c r="P18" s="23"/>
      <c r="Q18" s="226"/>
      <c r="R18" s="85"/>
      <c r="S18" s="227"/>
      <c r="T18" s="4"/>
      <c r="U18" s="228"/>
      <c r="V18" s="229"/>
      <c r="W18" s="229"/>
      <c r="X18" s="229"/>
      <c r="Y18" s="229"/>
      <c r="AC18" s="65"/>
      <c r="AD18" s="65"/>
      <c r="AE18" s="65"/>
    </row>
    <row r="19" spans="1:31" ht="45" customHeight="1" x14ac:dyDescent="0.3">
      <c r="F19" s="492" t="s">
        <v>409</v>
      </c>
      <c r="G19" s="507" t="s">
        <v>571</v>
      </c>
      <c r="H19" s="19">
        <v>7</v>
      </c>
      <c r="I19" s="168" t="s">
        <v>411</v>
      </c>
      <c r="J19" s="217" t="s">
        <v>569</v>
      </c>
      <c r="K19" s="29"/>
      <c r="L19" s="22"/>
      <c r="M19" s="23" t="str">
        <f t="shared" si="1"/>
        <v/>
      </c>
      <c r="N19" s="23" t="str">
        <f t="shared" si="0"/>
        <v/>
      </c>
      <c r="O19" s="23"/>
      <c r="P19" s="23"/>
      <c r="Q19" s="226"/>
      <c r="R19" s="85"/>
      <c r="S19" s="227"/>
      <c r="T19" s="4"/>
      <c r="U19" s="228"/>
      <c r="V19" s="229"/>
      <c r="W19" s="229"/>
      <c r="X19" s="229"/>
      <c r="Y19" s="229"/>
      <c r="AC19" s="65"/>
      <c r="AD19" s="65"/>
      <c r="AE19" s="65"/>
    </row>
    <row r="20" spans="1:31" ht="45" customHeight="1" x14ac:dyDescent="0.3">
      <c r="F20" s="506"/>
      <c r="G20" s="508"/>
      <c r="H20" s="19">
        <v>7.1</v>
      </c>
      <c r="I20" s="168" t="s">
        <v>412</v>
      </c>
      <c r="J20" s="217">
        <v>1</v>
      </c>
      <c r="K20" s="30"/>
      <c r="L20" s="22" t="str">
        <f>IF(AND(K20&gt;0,$K$19&lt;&gt;$AD$8),"!","")</f>
        <v/>
      </c>
      <c r="M20" s="23" t="str">
        <f t="shared" si="1"/>
        <v/>
      </c>
      <c r="N20" s="23" t="str">
        <f t="shared" si="0"/>
        <v/>
      </c>
      <c r="O20" s="23"/>
      <c r="P20" s="23"/>
      <c r="Q20" s="226"/>
      <c r="R20" s="85"/>
      <c r="S20" s="227"/>
      <c r="T20" s="4"/>
      <c r="U20" s="228"/>
      <c r="V20" s="229"/>
      <c r="W20" s="229"/>
      <c r="X20" s="229"/>
      <c r="Y20" s="229"/>
      <c r="AC20" s="65"/>
      <c r="AD20" s="65"/>
      <c r="AE20" s="65"/>
    </row>
    <row r="21" spans="1:31" ht="45" customHeight="1" x14ac:dyDescent="0.3">
      <c r="F21" s="493"/>
      <c r="G21" s="509"/>
      <c r="H21" s="19">
        <v>7.2</v>
      </c>
      <c r="I21" s="168" t="s">
        <v>413</v>
      </c>
      <c r="J21" s="217">
        <v>1</v>
      </c>
      <c r="K21" s="30"/>
      <c r="L21" s="22"/>
      <c r="M21" s="23"/>
      <c r="N21" s="23"/>
      <c r="O21" s="23"/>
      <c r="P21" s="23"/>
      <c r="Q21" s="226"/>
      <c r="R21" s="85"/>
      <c r="S21" s="227"/>
      <c r="T21" s="4"/>
      <c r="U21" s="228"/>
      <c r="V21" s="229"/>
      <c r="W21" s="229"/>
      <c r="X21" s="229"/>
      <c r="Y21" s="229"/>
      <c r="AC21" s="65"/>
      <c r="AD21" s="65"/>
      <c r="AE21" s="65"/>
    </row>
    <row r="22" spans="1:31" ht="45" customHeight="1" x14ac:dyDescent="0.3">
      <c r="F22" s="492" t="s">
        <v>414</v>
      </c>
      <c r="G22" s="524" t="s">
        <v>376</v>
      </c>
      <c r="H22" s="19" t="s">
        <v>415</v>
      </c>
      <c r="I22" s="168" t="s">
        <v>416</v>
      </c>
      <c r="J22" s="217">
        <f>IF(G22=AA8,1,"-")</f>
        <v>1</v>
      </c>
      <c r="K22" s="30"/>
      <c r="L22" s="22" t="str">
        <f>IF(AND(K22&gt;0,G22="Prescriptive Pathway"),"!","")</f>
        <v/>
      </c>
      <c r="M22" s="23" t="str">
        <f t="shared" si="1"/>
        <v/>
      </c>
      <c r="N22" s="23" t="str">
        <f t="shared" si="0"/>
        <v/>
      </c>
      <c r="O22" s="23"/>
      <c r="P22" s="23"/>
      <c r="Q22" s="226"/>
      <c r="R22" s="85"/>
      <c r="S22" s="227"/>
      <c r="T22" s="4"/>
      <c r="U22" s="228"/>
      <c r="V22" s="229"/>
      <c r="W22" s="229"/>
      <c r="X22" s="229"/>
      <c r="Y22" s="229"/>
      <c r="AC22" s="65"/>
      <c r="AD22" s="65"/>
      <c r="AE22" s="65"/>
    </row>
    <row r="23" spans="1:31" ht="45" customHeight="1" x14ac:dyDescent="0.3">
      <c r="F23" s="493"/>
      <c r="G23" s="511"/>
      <c r="H23" s="19" t="s">
        <v>417</v>
      </c>
      <c r="I23" s="168" t="s">
        <v>418</v>
      </c>
      <c r="J23" s="217" t="str">
        <f>IF(G22=AA9,1,"-")</f>
        <v>-</v>
      </c>
      <c r="K23" s="30"/>
      <c r="L23" s="22" t="str">
        <f>IF(AND(K23&gt;0,G22="Performance Pathway"),"!","")</f>
        <v/>
      </c>
      <c r="M23" s="23" t="str">
        <f t="shared" si="1"/>
        <v/>
      </c>
      <c r="N23" s="23" t="str">
        <f t="shared" si="0"/>
        <v/>
      </c>
      <c r="O23" s="23"/>
      <c r="P23" s="23"/>
      <c r="Q23" s="226"/>
      <c r="R23" s="85"/>
      <c r="S23" s="227"/>
      <c r="T23" s="4"/>
      <c r="U23" s="228"/>
      <c r="V23" s="229"/>
      <c r="W23" s="229"/>
      <c r="X23" s="229"/>
      <c r="Y23" s="229"/>
    </row>
    <row r="24" spans="1:31" ht="37.5" customHeight="1" x14ac:dyDescent="0.3">
      <c r="F24" s="195" t="s">
        <v>301</v>
      </c>
      <c r="G24" s="195"/>
      <c r="H24" s="196"/>
      <c r="I24" s="195"/>
      <c r="J24" s="196">
        <f>SUM(J7:J23)</f>
        <v>14</v>
      </c>
      <c r="K24" s="196">
        <f>SUM(K7:K23)</f>
        <v>0</v>
      </c>
      <c r="L24" s="22" t="str">
        <f>IF(K24&gt;J24,"!","")</f>
        <v/>
      </c>
      <c r="M24" s="32">
        <f>SUM(M7:M23)</f>
        <v>0</v>
      </c>
      <c r="N24" s="32">
        <f>SUM(N7:N23)</f>
        <v>0</v>
      </c>
      <c r="O24" s="33"/>
      <c r="P24" s="33"/>
      <c r="Q24" s="108"/>
      <c r="R24" s="3"/>
      <c r="S24" s="137"/>
      <c r="T24" s="4"/>
      <c r="U24" s="147"/>
      <c r="V24" s="137"/>
      <c r="W24" s="137"/>
      <c r="X24" s="137"/>
      <c r="Y24" s="137"/>
    </row>
    <row r="25" spans="1:31" ht="45" customHeight="1" x14ac:dyDescent="0.3">
      <c r="F25" s="34"/>
      <c r="G25" s="35"/>
      <c r="H25" s="36"/>
      <c r="I25" s="37"/>
      <c r="J25" s="38"/>
      <c r="K25" s="39"/>
      <c r="L25" s="18"/>
      <c r="M25" s="39"/>
      <c r="Q25" s="113"/>
      <c r="R25" s="24"/>
      <c r="T25" s="4"/>
      <c r="U25" s="160"/>
      <c r="V25" s="161"/>
      <c r="W25" s="161"/>
      <c r="X25" s="161"/>
      <c r="Y25" s="161"/>
    </row>
    <row r="26" spans="1:31" ht="45" customHeight="1" x14ac:dyDescent="0.3">
      <c r="F26" s="512" t="s">
        <v>377</v>
      </c>
      <c r="G26" s="512"/>
      <c r="H26" s="512"/>
      <c r="I26" s="512"/>
      <c r="J26" s="97">
        <f>17-SUM(B27:B43)</f>
        <v>17</v>
      </c>
      <c r="K26" s="197"/>
      <c r="L26" s="22"/>
      <c r="M26" s="97"/>
      <c r="N26" s="97"/>
      <c r="O26" s="97"/>
      <c r="P26" s="97"/>
      <c r="Q26" s="109"/>
      <c r="R26" s="40"/>
      <c r="S26" s="138"/>
      <c r="T26" s="41"/>
      <c r="U26" s="148"/>
      <c r="V26" s="138"/>
      <c r="W26" s="138"/>
      <c r="X26" s="138"/>
      <c r="Y26" s="138"/>
    </row>
    <row r="27" spans="1:31" ht="45" customHeight="1" x14ac:dyDescent="0.3">
      <c r="A27" s="87">
        <v>1</v>
      </c>
      <c r="B27" s="87">
        <f>IF(C27=TRUE,A27,0)</f>
        <v>0</v>
      </c>
      <c r="C27" s="87" t="b">
        <v>0</v>
      </c>
      <c r="E27" s="89"/>
      <c r="F27" s="485" t="s">
        <v>419</v>
      </c>
      <c r="G27" s="497" t="s">
        <v>572</v>
      </c>
      <c r="H27" s="19">
        <v>9.1</v>
      </c>
      <c r="I27" s="42" t="s">
        <v>421</v>
      </c>
      <c r="J27" s="43">
        <f>IF(C27=FALSE,A27,0)</f>
        <v>1</v>
      </c>
      <c r="K27" s="44"/>
      <c r="L27" s="22"/>
      <c r="M27" s="23" t="str">
        <f>IF(OR(Q27=$AC$9,Q27=$AC$10),K27,"")</f>
        <v/>
      </c>
      <c r="N27" s="23" t="str">
        <f t="shared" ref="N27:N43" si="3">IF(Q27=$AC$11,K27,"")</f>
        <v/>
      </c>
      <c r="O27" s="23"/>
      <c r="P27" s="23"/>
      <c r="Q27" s="226"/>
      <c r="R27" s="85"/>
      <c r="S27" s="227"/>
      <c r="T27" s="4"/>
      <c r="U27" s="228"/>
      <c r="V27" s="229"/>
      <c r="W27" s="229"/>
      <c r="X27" s="229"/>
      <c r="Y27" s="229"/>
    </row>
    <row r="28" spans="1:31" ht="45" customHeight="1" x14ac:dyDescent="0.3">
      <c r="A28" s="87">
        <v>2</v>
      </c>
      <c r="B28" s="87">
        <f t="shared" ref="B28:B43" si="4">IF(C28=TRUE,A28,0)</f>
        <v>0</v>
      </c>
      <c r="C28" s="87" t="b">
        <v>0</v>
      </c>
      <c r="F28" s="485"/>
      <c r="G28" s="497"/>
      <c r="H28" s="19">
        <v>9.1999999999999993</v>
      </c>
      <c r="I28" s="42" t="s">
        <v>422</v>
      </c>
      <c r="J28" s="43">
        <f t="shared" ref="J28:J43" si="5">IF(C28=FALSE,A28,0)</f>
        <v>2</v>
      </c>
      <c r="K28" s="44"/>
      <c r="L28" s="22"/>
      <c r="M28" s="23" t="str">
        <f t="shared" ref="M28:M43" si="6">IF(OR(Q28=$AC$9,Q28=$AC$10),K28,"")</f>
        <v/>
      </c>
      <c r="N28" s="23" t="str">
        <f t="shared" si="3"/>
        <v/>
      </c>
      <c r="O28" s="23"/>
      <c r="P28" s="23"/>
      <c r="Q28" s="112"/>
      <c r="R28" s="85"/>
      <c r="S28" s="227"/>
      <c r="T28" s="4"/>
      <c r="U28" s="228"/>
      <c r="V28" s="229"/>
      <c r="W28" s="229"/>
      <c r="X28" s="229"/>
      <c r="Y28" s="229"/>
    </row>
    <row r="29" spans="1:31" ht="45" customHeight="1" x14ac:dyDescent="0.3">
      <c r="A29" s="87">
        <v>1</v>
      </c>
      <c r="B29" s="87">
        <f t="shared" si="4"/>
        <v>0</v>
      </c>
      <c r="C29" s="87" t="b">
        <v>0</v>
      </c>
      <c r="F29" s="485"/>
      <c r="G29" s="497"/>
      <c r="H29" s="19">
        <v>9.3000000000000007</v>
      </c>
      <c r="I29" s="42" t="s">
        <v>423</v>
      </c>
      <c r="J29" s="43">
        <f t="shared" si="5"/>
        <v>1</v>
      </c>
      <c r="K29" s="44"/>
      <c r="L29" s="22"/>
      <c r="M29" s="23" t="str">
        <f t="shared" si="6"/>
        <v/>
      </c>
      <c r="N29" s="23" t="str">
        <f t="shared" si="3"/>
        <v/>
      </c>
      <c r="O29" s="23"/>
      <c r="P29" s="23"/>
      <c r="Q29" s="112"/>
      <c r="R29" s="85"/>
      <c r="S29" s="227"/>
      <c r="T29" s="4"/>
      <c r="U29" s="228"/>
      <c r="V29" s="229"/>
      <c r="W29" s="229"/>
      <c r="X29" s="229"/>
      <c r="Y29" s="229"/>
    </row>
    <row r="30" spans="1:31" ht="45" customHeight="1" x14ac:dyDescent="0.3">
      <c r="A30" s="87">
        <v>1</v>
      </c>
      <c r="B30" s="87">
        <f t="shared" si="4"/>
        <v>0</v>
      </c>
      <c r="C30" s="87" t="b">
        <v>0</v>
      </c>
      <c r="F30" s="485" t="s">
        <v>305</v>
      </c>
      <c r="G30" s="497" t="s">
        <v>424</v>
      </c>
      <c r="H30" s="19">
        <v>10.1</v>
      </c>
      <c r="I30" s="42" t="s">
        <v>425</v>
      </c>
      <c r="J30" s="43">
        <f t="shared" si="5"/>
        <v>1</v>
      </c>
      <c r="K30" s="44"/>
      <c r="L30" s="22"/>
      <c r="M30" s="23" t="str">
        <f t="shared" si="6"/>
        <v/>
      </c>
      <c r="N30" s="23" t="str">
        <f t="shared" si="3"/>
        <v/>
      </c>
      <c r="O30" s="23"/>
      <c r="P30" s="23"/>
      <c r="Q30" s="112"/>
      <c r="R30" s="85"/>
      <c r="S30" s="227"/>
      <c r="T30" s="4"/>
      <c r="U30" s="228"/>
      <c r="V30" s="229"/>
      <c r="W30" s="229"/>
      <c r="X30" s="229"/>
      <c r="Y30" s="229"/>
    </row>
    <row r="31" spans="1:31" ht="45" customHeight="1" x14ac:dyDescent="0.3">
      <c r="A31" s="87">
        <v>1</v>
      </c>
      <c r="B31" s="87">
        <f t="shared" si="4"/>
        <v>0</v>
      </c>
      <c r="C31" s="87" t="b">
        <v>0</v>
      </c>
      <c r="F31" s="485"/>
      <c r="G31" s="497"/>
      <c r="H31" s="19">
        <v>10.199999999999999</v>
      </c>
      <c r="I31" s="42" t="s">
        <v>426</v>
      </c>
      <c r="J31" s="43">
        <f t="shared" si="5"/>
        <v>1</v>
      </c>
      <c r="K31" s="44"/>
      <c r="L31" s="22"/>
      <c r="M31" s="23" t="str">
        <f t="shared" si="6"/>
        <v/>
      </c>
      <c r="N31" s="23" t="str">
        <f t="shared" si="3"/>
        <v/>
      </c>
      <c r="O31" s="23"/>
      <c r="P31" s="23"/>
      <c r="Q31" s="112"/>
      <c r="R31" s="85"/>
      <c r="S31" s="227"/>
      <c r="T31" s="4"/>
      <c r="U31" s="228"/>
      <c r="V31" s="229"/>
      <c r="W31" s="229"/>
      <c r="X31" s="229"/>
      <c r="Y31" s="229"/>
    </row>
    <row r="32" spans="1:31" ht="45" customHeight="1" x14ac:dyDescent="0.3">
      <c r="A32" s="87">
        <v>1</v>
      </c>
      <c r="B32" s="87">
        <f t="shared" si="4"/>
        <v>0</v>
      </c>
      <c r="C32" s="87" t="b">
        <v>0</v>
      </c>
      <c r="F32" s="485"/>
      <c r="G32" s="497"/>
      <c r="H32" s="19">
        <v>10.3</v>
      </c>
      <c r="I32" s="42" t="s">
        <v>427</v>
      </c>
      <c r="J32" s="43">
        <f t="shared" si="5"/>
        <v>1</v>
      </c>
      <c r="K32" s="44"/>
      <c r="L32" s="22"/>
      <c r="M32" s="23" t="str">
        <f t="shared" si="6"/>
        <v/>
      </c>
      <c r="N32" s="23" t="str">
        <f t="shared" si="3"/>
        <v/>
      </c>
      <c r="O32" s="23"/>
      <c r="P32" s="23"/>
      <c r="Q32" s="112"/>
      <c r="R32" s="85"/>
      <c r="S32" s="227"/>
      <c r="T32" s="4"/>
      <c r="U32" s="228"/>
      <c r="V32" s="229"/>
      <c r="W32" s="229"/>
      <c r="X32" s="229"/>
      <c r="Y32" s="229"/>
    </row>
    <row r="33" spans="1:27" ht="45" customHeight="1" x14ac:dyDescent="0.3">
      <c r="F33" s="485" t="s">
        <v>428</v>
      </c>
      <c r="G33" s="497" t="s">
        <v>429</v>
      </c>
      <c r="H33" s="19">
        <v>11</v>
      </c>
      <c r="I33" s="42" t="s">
        <v>430</v>
      </c>
      <c r="J33" s="43" t="s">
        <v>569</v>
      </c>
      <c r="K33" s="44"/>
      <c r="L33" s="22"/>
      <c r="M33" s="23" t="str">
        <f t="shared" si="6"/>
        <v/>
      </c>
      <c r="N33" s="23" t="str">
        <f t="shared" si="3"/>
        <v/>
      </c>
      <c r="O33" s="23"/>
      <c r="P33" s="23"/>
      <c r="Q33" s="112"/>
      <c r="R33" s="85"/>
      <c r="S33" s="227"/>
      <c r="T33" s="4"/>
      <c r="U33" s="228"/>
      <c r="V33" s="229"/>
      <c r="W33" s="229"/>
      <c r="X33" s="229"/>
      <c r="Y33" s="229"/>
    </row>
    <row r="34" spans="1:27" ht="45" customHeight="1" x14ac:dyDescent="0.3">
      <c r="A34" s="87">
        <v>1</v>
      </c>
      <c r="B34" s="87">
        <f t="shared" si="4"/>
        <v>0</v>
      </c>
      <c r="C34" s="87" t="b">
        <v>0</v>
      </c>
      <c r="F34" s="485"/>
      <c r="G34" s="497"/>
      <c r="H34" s="19">
        <v>11.1</v>
      </c>
      <c r="I34" s="42" t="s">
        <v>431</v>
      </c>
      <c r="J34" s="43">
        <f t="shared" si="5"/>
        <v>1</v>
      </c>
      <c r="K34" s="44"/>
      <c r="L34" s="22" t="str">
        <f>IF(AND(K34&gt;0,$K$33&lt;&gt;$AD$8),"!","")</f>
        <v/>
      </c>
      <c r="M34" s="23" t="str">
        <f t="shared" si="6"/>
        <v/>
      </c>
      <c r="N34" s="23" t="str">
        <f t="shared" si="3"/>
        <v/>
      </c>
      <c r="O34" s="23"/>
      <c r="P34" s="23"/>
      <c r="Q34" s="112"/>
      <c r="R34" s="85"/>
      <c r="S34" s="227"/>
      <c r="T34" s="4"/>
      <c r="U34" s="228"/>
      <c r="V34" s="229"/>
      <c r="W34" s="229"/>
      <c r="X34" s="229"/>
      <c r="Y34" s="229"/>
    </row>
    <row r="35" spans="1:27" ht="45" customHeight="1" x14ac:dyDescent="0.3">
      <c r="A35" s="87">
        <v>1</v>
      </c>
      <c r="B35" s="87">
        <f t="shared" si="4"/>
        <v>0</v>
      </c>
      <c r="C35" s="87" t="b">
        <v>0</v>
      </c>
      <c r="F35" s="485"/>
      <c r="G35" s="497"/>
      <c r="H35" s="19">
        <v>11.2</v>
      </c>
      <c r="I35" s="42" t="s">
        <v>432</v>
      </c>
      <c r="J35" s="43">
        <f t="shared" si="5"/>
        <v>1</v>
      </c>
      <c r="K35" s="44"/>
      <c r="L35" s="22" t="str">
        <f>IF(AND(K35&gt;0,$K$33&lt;&gt;$AD$8),"!","")</f>
        <v/>
      </c>
      <c r="M35" s="23" t="str">
        <f t="shared" si="6"/>
        <v/>
      </c>
      <c r="N35" s="23" t="str">
        <f t="shared" si="3"/>
        <v/>
      </c>
      <c r="O35" s="23"/>
      <c r="P35" s="23"/>
      <c r="Q35" s="112"/>
      <c r="R35" s="85"/>
      <c r="S35" s="227"/>
      <c r="T35" s="4"/>
      <c r="U35" s="228"/>
      <c r="V35" s="229"/>
      <c r="W35" s="229"/>
      <c r="X35" s="229"/>
      <c r="Y35" s="229"/>
    </row>
    <row r="36" spans="1:27" ht="45" customHeight="1" x14ac:dyDescent="0.3">
      <c r="A36" s="87">
        <v>1</v>
      </c>
      <c r="B36" s="87">
        <f t="shared" si="4"/>
        <v>0</v>
      </c>
      <c r="C36" s="87" t="b">
        <v>0</v>
      </c>
      <c r="F36" s="485"/>
      <c r="G36" s="497"/>
      <c r="H36" s="19">
        <v>11.3</v>
      </c>
      <c r="I36" s="42" t="s">
        <v>433</v>
      </c>
      <c r="J36" s="43">
        <f t="shared" si="5"/>
        <v>1</v>
      </c>
      <c r="K36" s="44"/>
      <c r="L36" s="22" t="str">
        <f>IF(AND(K36&gt;0,$K$33&lt;&gt;$AD$8),"!","")</f>
        <v/>
      </c>
      <c r="M36" s="23" t="str">
        <f t="shared" si="6"/>
        <v/>
      </c>
      <c r="N36" s="23" t="str">
        <f t="shared" si="3"/>
        <v/>
      </c>
      <c r="O36" s="23"/>
      <c r="P36" s="23"/>
      <c r="Q36" s="112"/>
      <c r="R36" s="85"/>
      <c r="S36" s="227"/>
      <c r="T36" s="4"/>
      <c r="U36" s="228"/>
      <c r="V36" s="229"/>
      <c r="W36" s="229"/>
      <c r="X36" s="229"/>
      <c r="Y36" s="229"/>
    </row>
    <row r="37" spans="1:27" ht="45" customHeight="1" x14ac:dyDescent="0.3">
      <c r="F37" s="485" t="s">
        <v>434</v>
      </c>
      <c r="G37" s="497" t="s">
        <v>435</v>
      </c>
      <c r="H37" s="19">
        <v>12</v>
      </c>
      <c r="I37" s="42" t="s">
        <v>436</v>
      </c>
      <c r="J37" s="43" t="s">
        <v>569</v>
      </c>
      <c r="K37" s="44"/>
      <c r="L37" s="22"/>
      <c r="M37" s="23" t="str">
        <f t="shared" si="6"/>
        <v/>
      </c>
      <c r="N37" s="23" t="str">
        <f t="shared" si="3"/>
        <v/>
      </c>
      <c r="O37" s="23"/>
      <c r="P37" s="23"/>
      <c r="Q37" s="112"/>
      <c r="R37" s="85"/>
      <c r="S37" s="227"/>
      <c r="T37" s="4"/>
      <c r="U37" s="228"/>
      <c r="V37" s="229"/>
      <c r="W37" s="229"/>
      <c r="X37" s="229"/>
      <c r="Y37" s="229"/>
    </row>
    <row r="38" spans="1:27" ht="45" customHeight="1" x14ac:dyDescent="0.3">
      <c r="A38" s="87">
        <v>2</v>
      </c>
      <c r="B38" s="87">
        <f t="shared" si="4"/>
        <v>0</v>
      </c>
      <c r="C38" s="87" t="b">
        <v>0</v>
      </c>
      <c r="F38" s="485"/>
      <c r="G38" s="497"/>
      <c r="H38" s="19">
        <v>12.1</v>
      </c>
      <c r="I38" s="42" t="s">
        <v>437</v>
      </c>
      <c r="J38" s="43">
        <f t="shared" si="5"/>
        <v>2</v>
      </c>
      <c r="K38" s="44"/>
      <c r="L38" s="22" t="str">
        <f>IF(AND(K38&gt;0,$K$37&lt;&gt;$AD$8),"!","")</f>
        <v/>
      </c>
      <c r="M38" s="23" t="str">
        <f t="shared" si="6"/>
        <v/>
      </c>
      <c r="N38" s="23" t="str">
        <f t="shared" si="3"/>
        <v/>
      </c>
      <c r="O38" s="23"/>
      <c r="P38" s="23"/>
      <c r="Q38" s="112"/>
      <c r="R38" s="85"/>
      <c r="S38" s="227"/>
      <c r="T38" s="4"/>
      <c r="U38" s="228"/>
      <c r="V38" s="229"/>
      <c r="W38" s="229"/>
      <c r="X38" s="229"/>
      <c r="Y38" s="229"/>
    </row>
    <row r="39" spans="1:27" ht="45" customHeight="1" x14ac:dyDescent="0.3">
      <c r="A39" s="87">
        <v>1</v>
      </c>
      <c r="B39" s="87">
        <f t="shared" si="4"/>
        <v>0</v>
      </c>
      <c r="C39" s="87" t="b">
        <v>0</v>
      </c>
      <c r="F39" s="485"/>
      <c r="G39" s="497"/>
      <c r="H39" s="19">
        <v>12.2</v>
      </c>
      <c r="I39" s="42" t="s">
        <v>438</v>
      </c>
      <c r="J39" s="43">
        <f t="shared" si="5"/>
        <v>1</v>
      </c>
      <c r="K39" s="44"/>
      <c r="L39" s="22" t="str">
        <f>IF(AND(K39&gt;0,$K$37&lt;&gt;$AD$8),"!","")</f>
        <v/>
      </c>
      <c r="M39" s="23" t="str">
        <f t="shared" si="6"/>
        <v/>
      </c>
      <c r="N39" s="23" t="str">
        <f t="shared" si="3"/>
        <v/>
      </c>
      <c r="O39" s="23"/>
      <c r="P39" s="23"/>
      <c r="Q39" s="112"/>
      <c r="R39" s="85"/>
      <c r="S39" s="227"/>
      <c r="T39" s="4"/>
      <c r="U39" s="228"/>
      <c r="V39" s="229"/>
      <c r="W39" s="229"/>
      <c r="X39" s="229"/>
      <c r="Y39" s="229"/>
    </row>
    <row r="40" spans="1:27" ht="45" customHeight="1" x14ac:dyDescent="0.3">
      <c r="A40" s="87">
        <v>1</v>
      </c>
      <c r="B40" s="87">
        <f t="shared" si="4"/>
        <v>0</v>
      </c>
      <c r="C40" s="87" t="b">
        <v>0</v>
      </c>
      <c r="F40" s="485" t="s">
        <v>439</v>
      </c>
      <c r="G40" s="497" t="s">
        <v>440</v>
      </c>
      <c r="H40" s="19">
        <v>13.1</v>
      </c>
      <c r="I40" s="42" t="s">
        <v>441</v>
      </c>
      <c r="J40" s="43">
        <f t="shared" si="5"/>
        <v>1</v>
      </c>
      <c r="K40" s="44"/>
      <c r="L40" s="22"/>
      <c r="M40" s="23" t="str">
        <f t="shared" si="6"/>
        <v/>
      </c>
      <c r="N40" s="23" t="str">
        <f t="shared" si="3"/>
        <v/>
      </c>
      <c r="O40" s="23"/>
      <c r="P40" s="23"/>
      <c r="Q40" s="112"/>
      <c r="R40" s="85"/>
      <c r="S40" s="227"/>
      <c r="T40" s="4"/>
      <c r="U40" s="228"/>
      <c r="V40" s="229"/>
      <c r="W40" s="229"/>
      <c r="X40" s="229"/>
      <c r="Y40" s="229"/>
    </row>
    <row r="41" spans="1:27" ht="45" customHeight="1" x14ac:dyDescent="0.3">
      <c r="A41" s="87">
        <v>1</v>
      </c>
      <c r="B41" s="87">
        <f t="shared" si="4"/>
        <v>0</v>
      </c>
      <c r="C41" s="87" t="b">
        <v>0</v>
      </c>
      <c r="F41" s="485"/>
      <c r="G41" s="497"/>
      <c r="H41" s="19">
        <v>13.2</v>
      </c>
      <c r="I41" s="42" t="s">
        <v>442</v>
      </c>
      <c r="J41" s="43">
        <f t="shared" si="5"/>
        <v>1</v>
      </c>
      <c r="K41" s="44"/>
      <c r="L41" s="22"/>
      <c r="M41" s="23" t="str">
        <f t="shared" si="6"/>
        <v/>
      </c>
      <c r="N41" s="23" t="str">
        <f t="shared" si="3"/>
        <v/>
      </c>
      <c r="O41" s="23"/>
      <c r="P41" s="23"/>
      <c r="Q41" s="112"/>
      <c r="R41" s="85"/>
      <c r="S41" s="227"/>
      <c r="T41" s="4"/>
      <c r="U41" s="228"/>
      <c r="V41" s="229"/>
      <c r="W41" s="229"/>
      <c r="X41" s="229"/>
      <c r="Y41" s="229"/>
    </row>
    <row r="42" spans="1:27" ht="45" customHeight="1" x14ac:dyDescent="0.3">
      <c r="A42" s="87">
        <v>1</v>
      </c>
      <c r="B42" s="87">
        <f t="shared" si="4"/>
        <v>0</v>
      </c>
      <c r="C42" s="87" t="b">
        <v>0</v>
      </c>
      <c r="F42" s="485" t="s">
        <v>443</v>
      </c>
      <c r="G42" s="497" t="s">
        <v>573</v>
      </c>
      <c r="H42" s="19">
        <v>14.1</v>
      </c>
      <c r="I42" s="42" t="s">
        <v>443</v>
      </c>
      <c r="J42" s="43">
        <f t="shared" si="5"/>
        <v>1</v>
      </c>
      <c r="K42" s="44"/>
      <c r="L42" s="22"/>
      <c r="M42" s="23" t="str">
        <f t="shared" si="6"/>
        <v/>
      </c>
      <c r="N42" s="23" t="str">
        <f t="shared" si="3"/>
        <v/>
      </c>
      <c r="O42" s="23"/>
      <c r="P42" s="23"/>
      <c r="Q42" s="112"/>
      <c r="R42" s="85"/>
      <c r="S42" s="227"/>
      <c r="T42" s="4"/>
      <c r="U42" s="228"/>
      <c r="V42" s="229"/>
      <c r="W42" s="229"/>
      <c r="X42" s="229"/>
      <c r="Y42" s="229"/>
    </row>
    <row r="43" spans="1:27" ht="45" customHeight="1" x14ac:dyDescent="0.3">
      <c r="A43" s="87">
        <v>1</v>
      </c>
      <c r="B43" s="87">
        <f t="shared" si="4"/>
        <v>0</v>
      </c>
      <c r="C43" s="87" t="b">
        <v>0</v>
      </c>
      <c r="F43" s="486"/>
      <c r="G43" s="507"/>
      <c r="H43" s="19">
        <v>14.2</v>
      </c>
      <c r="I43" s="42" t="s">
        <v>445</v>
      </c>
      <c r="J43" s="43">
        <f t="shared" si="5"/>
        <v>1</v>
      </c>
      <c r="K43" s="44"/>
      <c r="L43" s="22"/>
      <c r="M43" s="23" t="str">
        <f t="shared" si="6"/>
        <v/>
      </c>
      <c r="N43" s="23" t="str">
        <f t="shared" si="3"/>
        <v/>
      </c>
      <c r="O43" s="23"/>
      <c r="P43" s="23"/>
      <c r="Q43" s="112"/>
      <c r="R43" s="85"/>
      <c r="S43" s="227"/>
      <c r="T43" s="4"/>
      <c r="U43" s="228"/>
      <c r="V43" s="229"/>
      <c r="W43" s="229"/>
      <c r="X43" s="229"/>
      <c r="Y43" s="229"/>
    </row>
    <row r="44" spans="1:27" ht="45" customHeight="1" x14ac:dyDescent="0.3">
      <c r="F44" s="195" t="s">
        <v>301</v>
      </c>
      <c r="G44" s="195"/>
      <c r="H44" s="196"/>
      <c r="I44" s="195"/>
      <c r="J44" s="196">
        <f>SUM(J27:J43)</f>
        <v>17</v>
      </c>
      <c r="K44" s="196">
        <f>SUM(K27:K43)</f>
        <v>0</v>
      </c>
      <c r="L44" s="22" t="str">
        <f>IF(K44&gt;J44,"!","")</f>
        <v/>
      </c>
      <c r="M44" s="32">
        <f t="shared" ref="M44:N44" si="7">SUM(M27:M43)</f>
        <v>0</v>
      </c>
      <c r="N44" s="32">
        <f t="shared" si="7"/>
        <v>0</v>
      </c>
      <c r="Q44" s="113"/>
      <c r="R44" s="24"/>
      <c r="S44" s="139"/>
      <c r="T44" s="4"/>
      <c r="U44" s="162"/>
      <c r="V44" s="163"/>
      <c r="W44" s="163"/>
      <c r="X44" s="163"/>
      <c r="Y44" s="163"/>
    </row>
    <row r="45" spans="1:27" ht="45" customHeight="1" x14ac:dyDescent="0.3">
      <c r="F45" s="45"/>
      <c r="G45" s="45"/>
      <c r="H45" s="1"/>
      <c r="I45" s="45"/>
      <c r="J45" s="1"/>
      <c r="K45" s="1"/>
      <c r="L45" s="46"/>
      <c r="M45" s="1"/>
      <c r="N45" s="1"/>
      <c r="O45" s="1"/>
      <c r="P45" s="1"/>
      <c r="Q45" s="114"/>
      <c r="R45" s="24"/>
      <c r="S45" s="139"/>
      <c r="T45" s="4"/>
      <c r="U45" s="162"/>
      <c r="V45" s="163"/>
      <c r="W45" s="163"/>
      <c r="X45" s="163"/>
      <c r="Y45" s="163"/>
    </row>
    <row r="46" spans="1:27" ht="45" customHeight="1" x14ac:dyDescent="0.3">
      <c r="F46" s="520" t="s">
        <v>380</v>
      </c>
      <c r="G46" s="520"/>
      <c r="H46" s="520"/>
      <c r="I46" s="520"/>
      <c r="J46" s="197">
        <f>22-SUM(B47:B63)</f>
        <v>22</v>
      </c>
      <c r="K46" s="197"/>
      <c r="L46" s="47"/>
      <c r="M46" s="91"/>
      <c r="N46" s="91"/>
      <c r="O46" s="91"/>
      <c r="P46" s="91"/>
      <c r="Q46" s="109"/>
      <c r="R46" s="101"/>
      <c r="S46" s="140"/>
      <c r="T46" s="48"/>
      <c r="U46" s="148"/>
      <c r="V46" s="140"/>
      <c r="W46" s="140"/>
      <c r="X46" s="140"/>
      <c r="Y46" s="140"/>
    </row>
    <row r="47" spans="1:27" ht="45" customHeight="1" x14ac:dyDescent="0.3">
      <c r="F47" s="527" t="s">
        <v>446</v>
      </c>
      <c r="G47" s="514" t="s">
        <v>574</v>
      </c>
      <c r="H47" s="230" t="s">
        <v>575</v>
      </c>
      <c r="I47" s="204" t="s">
        <v>576</v>
      </c>
      <c r="J47" s="203" t="s">
        <v>569</v>
      </c>
      <c r="K47" s="61"/>
      <c r="L47" s="528"/>
      <c r="M47" s="23" t="str">
        <f>IF(OR(Q47=$AC$9,Q47=$AC$10),K47,"")</f>
        <v/>
      </c>
      <c r="N47" s="23" t="str">
        <f t="shared" ref="N47:N63" si="8">IF(Q47=$AC$11,K47,"")</f>
        <v/>
      </c>
      <c r="O47" s="23"/>
      <c r="P47" s="23"/>
      <c r="Q47" s="226"/>
      <c r="R47" s="85"/>
      <c r="S47" s="227"/>
      <c r="T47" s="4"/>
      <c r="U47" s="228"/>
      <c r="V47" s="229"/>
      <c r="W47" s="229"/>
      <c r="X47" s="229"/>
      <c r="Y47" s="229"/>
      <c r="AA47" s="6" t="s">
        <v>574</v>
      </c>
    </row>
    <row r="48" spans="1:27" ht="45" customHeight="1" x14ac:dyDescent="0.3">
      <c r="F48" s="489"/>
      <c r="G48" s="515"/>
      <c r="H48" s="93" t="s">
        <v>577</v>
      </c>
      <c r="I48" s="68" t="s">
        <v>578</v>
      </c>
      <c r="J48" s="67">
        <f>IF($G$47=$AA$47,1,"-")</f>
        <v>1</v>
      </c>
      <c r="K48" s="52"/>
      <c r="L48" s="528"/>
      <c r="M48" s="23" t="str">
        <f t="shared" ref="M48:M63" si="9">IF(OR(Q48=$AC$9,Q48=$AC$10),K48,"")</f>
        <v/>
      </c>
      <c r="N48" s="23" t="str">
        <f t="shared" si="8"/>
        <v/>
      </c>
      <c r="O48" s="23"/>
      <c r="P48" s="23"/>
      <c r="Q48" s="112"/>
      <c r="R48" s="85"/>
      <c r="S48" s="227"/>
      <c r="T48" s="4"/>
      <c r="U48" s="228"/>
      <c r="V48" s="229"/>
      <c r="W48" s="229"/>
      <c r="X48" s="229"/>
      <c r="Y48" s="229"/>
      <c r="AA48" s="6" t="s">
        <v>579</v>
      </c>
    </row>
    <row r="49" spans="6:27" ht="45" customHeight="1" x14ac:dyDescent="0.3">
      <c r="F49" s="489"/>
      <c r="G49" s="515"/>
      <c r="H49" s="93" t="s">
        <v>580</v>
      </c>
      <c r="I49" s="68" t="s">
        <v>581</v>
      </c>
      <c r="J49" s="67">
        <f t="shared" ref="J49:J52" si="10">IF($G$47=$AA$47,1,"-")</f>
        <v>1</v>
      </c>
      <c r="K49" s="52"/>
      <c r="L49" s="528"/>
      <c r="M49" s="23" t="str">
        <f t="shared" si="9"/>
        <v/>
      </c>
      <c r="N49" s="23" t="str">
        <f t="shared" si="8"/>
        <v/>
      </c>
      <c r="O49" s="23"/>
      <c r="P49" s="23"/>
      <c r="Q49" s="112"/>
      <c r="R49" s="85"/>
      <c r="S49" s="227"/>
      <c r="T49" s="4"/>
      <c r="U49" s="228"/>
      <c r="V49" s="229"/>
      <c r="W49" s="229"/>
      <c r="X49" s="229"/>
      <c r="Y49" s="229"/>
      <c r="AA49" s="6" t="s">
        <v>582</v>
      </c>
    </row>
    <row r="50" spans="6:27" ht="45" customHeight="1" x14ac:dyDescent="0.3">
      <c r="F50" s="489"/>
      <c r="G50" s="515"/>
      <c r="H50" s="93" t="s">
        <v>583</v>
      </c>
      <c r="I50" s="68" t="s">
        <v>584</v>
      </c>
      <c r="J50" s="67">
        <f t="shared" si="10"/>
        <v>1</v>
      </c>
      <c r="K50" s="52"/>
      <c r="L50" s="528"/>
      <c r="M50" s="23" t="str">
        <f t="shared" si="9"/>
        <v/>
      </c>
      <c r="N50" s="23" t="str">
        <f t="shared" si="8"/>
        <v/>
      </c>
      <c r="O50" s="23"/>
      <c r="P50" s="23"/>
      <c r="Q50" s="112"/>
      <c r="R50" s="85"/>
      <c r="S50" s="227"/>
      <c r="T50" s="4"/>
      <c r="U50" s="228"/>
      <c r="V50" s="229"/>
      <c r="W50" s="229"/>
      <c r="X50" s="229"/>
      <c r="Y50" s="229"/>
      <c r="AA50" s="6" t="s">
        <v>585</v>
      </c>
    </row>
    <row r="51" spans="6:27" ht="45" customHeight="1" x14ac:dyDescent="0.3">
      <c r="F51" s="489"/>
      <c r="G51" s="515"/>
      <c r="H51" s="93" t="s">
        <v>586</v>
      </c>
      <c r="I51" s="98" t="s">
        <v>587</v>
      </c>
      <c r="J51" s="67">
        <f t="shared" si="10"/>
        <v>1</v>
      </c>
      <c r="K51" s="52"/>
      <c r="L51" s="528"/>
      <c r="M51" s="23" t="str">
        <f t="shared" si="9"/>
        <v/>
      </c>
      <c r="N51" s="23" t="str">
        <f t="shared" si="8"/>
        <v/>
      </c>
      <c r="O51" s="23"/>
      <c r="P51" s="23"/>
      <c r="Q51" s="112"/>
      <c r="R51" s="85"/>
      <c r="S51" s="227"/>
      <c r="T51" s="4"/>
      <c r="U51" s="228"/>
      <c r="V51" s="229"/>
      <c r="W51" s="229"/>
      <c r="X51" s="229"/>
      <c r="Y51" s="229"/>
      <c r="AA51" s="6" t="s">
        <v>588</v>
      </c>
    </row>
    <row r="52" spans="6:27" ht="45" customHeight="1" x14ac:dyDescent="0.3">
      <c r="F52" s="489"/>
      <c r="G52" s="515"/>
      <c r="H52" s="93" t="s">
        <v>589</v>
      </c>
      <c r="I52" s="68" t="s">
        <v>590</v>
      </c>
      <c r="J52" s="67">
        <f t="shared" si="10"/>
        <v>1</v>
      </c>
      <c r="K52" s="52"/>
      <c r="L52" s="528"/>
      <c r="M52" s="23" t="str">
        <f t="shared" si="9"/>
        <v/>
      </c>
      <c r="N52" s="23" t="str">
        <f t="shared" si="8"/>
        <v/>
      </c>
      <c r="O52" s="23"/>
      <c r="P52" s="23"/>
      <c r="Q52" s="112"/>
      <c r="R52" s="85"/>
      <c r="S52" s="227"/>
      <c r="T52" s="4"/>
      <c r="U52" s="228"/>
      <c r="V52" s="229"/>
      <c r="W52" s="229"/>
      <c r="X52" s="229"/>
      <c r="Y52" s="229"/>
    </row>
    <row r="53" spans="6:27" ht="45" customHeight="1" x14ac:dyDescent="0.3">
      <c r="F53" s="489"/>
      <c r="G53" s="515"/>
      <c r="H53" s="93" t="s">
        <v>591</v>
      </c>
      <c r="I53" s="98" t="s">
        <v>592</v>
      </c>
      <c r="J53" s="67">
        <f>IF($G$47=$AA$47,5,"-")</f>
        <v>5</v>
      </c>
      <c r="K53" s="52"/>
      <c r="L53" s="528"/>
      <c r="M53" s="23" t="str">
        <f t="shared" si="9"/>
        <v/>
      </c>
      <c r="N53" s="23" t="str">
        <f t="shared" si="8"/>
        <v/>
      </c>
      <c r="O53" s="23"/>
      <c r="P53" s="23"/>
      <c r="Q53" s="112"/>
      <c r="R53" s="85"/>
      <c r="S53" s="227"/>
      <c r="T53" s="4"/>
      <c r="U53" s="228"/>
      <c r="V53" s="229"/>
      <c r="W53" s="229"/>
      <c r="X53" s="229"/>
      <c r="Y53" s="229"/>
    </row>
    <row r="54" spans="6:27" ht="45" customHeight="1" x14ac:dyDescent="0.3">
      <c r="F54" s="489"/>
      <c r="G54" s="515"/>
      <c r="H54" s="93" t="s">
        <v>593</v>
      </c>
      <c r="I54" s="68" t="s">
        <v>594</v>
      </c>
      <c r="J54" s="67" t="s">
        <v>569</v>
      </c>
      <c r="K54" s="60"/>
      <c r="L54" s="22"/>
      <c r="M54" s="23" t="str">
        <f t="shared" si="9"/>
        <v/>
      </c>
      <c r="N54" s="23" t="str">
        <f t="shared" si="8"/>
        <v/>
      </c>
      <c r="O54" s="23"/>
      <c r="P54" s="23"/>
      <c r="Q54" s="112"/>
      <c r="R54" s="85"/>
      <c r="S54" s="227"/>
      <c r="T54" s="4"/>
      <c r="U54" s="228"/>
      <c r="V54" s="229"/>
      <c r="W54" s="229"/>
      <c r="X54" s="229"/>
      <c r="Y54" s="229"/>
    </row>
    <row r="55" spans="6:27" ht="45" customHeight="1" x14ac:dyDescent="0.3">
      <c r="F55" s="489"/>
      <c r="G55" s="515"/>
      <c r="H55" s="93" t="s">
        <v>595</v>
      </c>
      <c r="I55" s="68" t="s">
        <v>596</v>
      </c>
      <c r="J55" s="67" t="str">
        <f>IF(G47=AA48,16,"-")</f>
        <v>-</v>
      </c>
      <c r="K55" s="60"/>
      <c r="L55" s="22" t="str">
        <f>IF(AND(K55&gt;0,$K$54&lt;&gt;$AD$8),"!","")</f>
        <v/>
      </c>
      <c r="M55" s="23" t="str">
        <f t="shared" si="9"/>
        <v/>
      </c>
      <c r="N55" s="23" t="str">
        <f t="shared" si="8"/>
        <v/>
      </c>
      <c r="O55" s="23"/>
      <c r="P55" s="23"/>
      <c r="Q55" s="112"/>
      <c r="R55" s="85"/>
      <c r="S55" s="227"/>
      <c r="T55" s="4"/>
      <c r="U55" s="228"/>
      <c r="V55" s="229"/>
      <c r="W55" s="229"/>
      <c r="X55" s="229"/>
      <c r="Y55" s="229"/>
    </row>
    <row r="56" spans="6:27" ht="45" customHeight="1" x14ac:dyDescent="0.3">
      <c r="F56" s="489"/>
      <c r="G56" s="515"/>
      <c r="H56" s="93" t="s">
        <v>597</v>
      </c>
      <c r="I56" s="98" t="s">
        <v>598</v>
      </c>
      <c r="J56" s="67" t="s">
        <v>569</v>
      </c>
      <c r="K56" s="60"/>
      <c r="L56" s="22"/>
      <c r="M56" s="23" t="str">
        <f t="shared" si="9"/>
        <v/>
      </c>
      <c r="N56" s="23" t="str">
        <f t="shared" si="8"/>
        <v/>
      </c>
      <c r="O56" s="23"/>
      <c r="P56" s="23"/>
      <c r="Q56" s="112"/>
      <c r="R56" s="85"/>
      <c r="S56" s="227"/>
      <c r="T56" s="4"/>
      <c r="U56" s="228"/>
      <c r="V56" s="229"/>
      <c r="W56" s="229"/>
      <c r="X56" s="229"/>
      <c r="Y56" s="229"/>
    </row>
    <row r="57" spans="6:27" ht="45" customHeight="1" x14ac:dyDescent="0.3">
      <c r="F57" s="489"/>
      <c r="G57" s="515"/>
      <c r="H57" s="93" t="s">
        <v>599</v>
      </c>
      <c r="I57" s="98" t="s">
        <v>600</v>
      </c>
      <c r="J57" s="67" t="str">
        <f>IF(G47=AA49,16,"-")</f>
        <v>-</v>
      </c>
      <c r="K57" s="60"/>
      <c r="L57" s="22" t="str">
        <f>IF(AND(K57&gt;0,$K$56&lt;&gt;$AD$8),"!","")</f>
        <v/>
      </c>
      <c r="M57" s="23" t="str">
        <f t="shared" si="9"/>
        <v/>
      </c>
      <c r="N57" s="23" t="str">
        <f t="shared" si="8"/>
        <v/>
      </c>
      <c r="O57" s="23"/>
      <c r="P57" s="23"/>
      <c r="Q57" s="112"/>
      <c r="R57" s="85"/>
      <c r="S57" s="227"/>
      <c r="T57" s="4"/>
      <c r="U57" s="228"/>
      <c r="V57" s="229"/>
      <c r="W57" s="229"/>
      <c r="X57" s="229"/>
      <c r="Y57" s="229"/>
    </row>
    <row r="58" spans="6:27" ht="45" customHeight="1" x14ac:dyDescent="0.3">
      <c r="F58" s="489"/>
      <c r="G58" s="515"/>
      <c r="H58" s="93" t="s">
        <v>601</v>
      </c>
      <c r="I58" s="98" t="s">
        <v>602</v>
      </c>
      <c r="J58" s="67" t="s">
        <v>569</v>
      </c>
      <c r="K58" s="60"/>
      <c r="L58" s="22"/>
      <c r="M58" s="23" t="str">
        <f t="shared" si="9"/>
        <v/>
      </c>
      <c r="N58" s="23" t="str">
        <f t="shared" si="8"/>
        <v/>
      </c>
      <c r="O58" s="23"/>
      <c r="P58" s="23"/>
      <c r="Q58" s="112"/>
      <c r="R58" s="85"/>
      <c r="S58" s="227"/>
      <c r="T58" s="4"/>
      <c r="U58" s="228"/>
      <c r="V58" s="229"/>
      <c r="W58" s="229"/>
      <c r="X58" s="229"/>
      <c r="Y58" s="229"/>
    </row>
    <row r="59" spans="6:27" ht="45" customHeight="1" x14ac:dyDescent="0.3">
      <c r="F59" s="489"/>
      <c r="G59" s="515"/>
      <c r="H59" s="93" t="s">
        <v>603</v>
      </c>
      <c r="I59" s="98" t="s">
        <v>604</v>
      </c>
      <c r="J59" s="67" t="str">
        <f>IF(G47=AA50,20,"-")</f>
        <v>-</v>
      </c>
      <c r="K59" s="60"/>
      <c r="L59" s="22" t="str">
        <f>IF(AND(K59&gt;0,$K$58&lt;&gt;$AD$8),"!","")</f>
        <v/>
      </c>
      <c r="M59" s="23" t="str">
        <f t="shared" si="9"/>
        <v/>
      </c>
      <c r="N59" s="23" t="str">
        <f t="shared" si="8"/>
        <v/>
      </c>
      <c r="O59" s="23"/>
      <c r="P59" s="23"/>
      <c r="Q59" s="112"/>
      <c r="R59" s="85"/>
      <c r="S59" s="227"/>
      <c r="T59" s="4"/>
      <c r="U59" s="228"/>
      <c r="V59" s="229"/>
      <c r="W59" s="229"/>
      <c r="X59" s="229"/>
      <c r="Y59" s="229"/>
    </row>
    <row r="60" spans="6:27" ht="45" customHeight="1" x14ac:dyDescent="0.3">
      <c r="F60" s="489"/>
      <c r="G60" s="515"/>
      <c r="H60" s="93" t="s">
        <v>448</v>
      </c>
      <c r="I60" s="111" t="s">
        <v>449</v>
      </c>
      <c r="J60" s="93" t="s">
        <v>569</v>
      </c>
      <c r="K60" s="60"/>
      <c r="L60" s="22"/>
      <c r="M60" s="23" t="str">
        <f t="shared" si="9"/>
        <v/>
      </c>
      <c r="N60" s="23" t="str">
        <f t="shared" si="8"/>
        <v/>
      </c>
      <c r="O60" s="23"/>
      <c r="P60" s="23"/>
      <c r="Q60" s="112"/>
      <c r="R60" s="85"/>
      <c r="S60" s="227"/>
      <c r="T60" s="4"/>
      <c r="U60" s="228"/>
      <c r="V60" s="229"/>
      <c r="W60" s="229"/>
      <c r="X60" s="229"/>
      <c r="Y60" s="229"/>
    </row>
    <row r="61" spans="6:27" ht="45" customHeight="1" x14ac:dyDescent="0.3">
      <c r="F61" s="490"/>
      <c r="G61" s="516"/>
      <c r="H61" s="93" t="s">
        <v>451</v>
      </c>
      <c r="I61" s="98" t="s">
        <v>605</v>
      </c>
      <c r="J61" s="67" t="str">
        <f>IF(G47=AA51,20,"-")</f>
        <v>-</v>
      </c>
      <c r="K61" s="60"/>
      <c r="L61" s="22" t="str">
        <f>IF(AND(K61&gt;0,K60&lt;&gt;$AD$8),"!","")</f>
        <v/>
      </c>
      <c r="M61" s="23" t="str">
        <f t="shared" si="9"/>
        <v/>
      </c>
      <c r="N61" s="23" t="str">
        <f t="shared" si="8"/>
        <v/>
      </c>
      <c r="O61" s="23"/>
      <c r="P61" s="23"/>
      <c r="Q61" s="112"/>
      <c r="R61" s="85"/>
      <c r="S61" s="227"/>
      <c r="T61" s="4"/>
      <c r="U61" s="228"/>
      <c r="V61" s="229"/>
      <c r="W61" s="229"/>
      <c r="X61" s="229"/>
      <c r="Y61" s="229"/>
    </row>
    <row r="62" spans="6:27" ht="45" customHeight="1" x14ac:dyDescent="0.3">
      <c r="F62" s="485" t="s">
        <v>453</v>
      </c>
      <c r="G62" s="487" t="s">
        <v>379</v>
      </c>
      <c r="H62" s="94" t="s">
        <v>454</v>
      </c>
      <c r="I62" s="99" t="s">
        <v>606</v>
      </c>
      <c r="J62" s="66">
        <f>IF(G62=AA62,1,"-")</f>
        <v>1</v>
      </c>
      <c r="K62" s="60"/>
      <c r="L62" s="18"/>
      <c r="M62" s="23" t="str">
        <f t="shared" si="9"/>
        <v/>
      </c>
      <c r="N62" s="23" t="str">
        <f t="shared" si="8"/>
        <v/>
      </c>
      <c r="O62" s="23"/>
      <c r="P62" s="23"/>
      <c r="Q62" s="112"/>
      <c r="R62" s="85"/>
      <c r="S62" s="227"/>
      <c r="U62" s="228"/>
      <c r="V62" s="229"/>
      <c r="W62" s="229"/>
      <c r="X62" s="229"/>
      <c r="Y62" s="229"/>
      <c r="AA62" s="4" t="s">
        <v>379</v>
      </c>
    </row>
    <row r="63" spans="6:27" ht="45" customHeight="1" x14ac:dyDescent="0.3">
      <c r="F63" s="486"/>
      <c r="G63" s="488"/>
      <c r="H63" s="199" t="s">
        <v>456</v>
      </c>
      <c r="I63" s="200" t="s">
        <v>607</v>
      </c>
      <c r="J63" s="218" t="str">
        <f>IF(G62=AA63,2,"-")</f>
        <v>-</v>
      </c>
      <c r="K63" s="63"/>
      <c r="L63" s="50"/>
      <c r="M63" s="23" t="str">
        <f t="shared" si="9"/>
        <v/>
      </c>
      <c r="N63" s="23" t="str">
        <f t="shared" si="8"/>
        <v/>
      </c>
      <c r="O63" s="23"/>
      <c r="P63" s="23"/>
      <c r="Q63" s="112"/>
      <c r="R63" s="85"/>
      <c r="S63" s="227"/>
      <c r="U63" s="228"/>
      <c r="V63" s="229"/>
      <c r="W63" s="229"/>
      <c r="X63" s="229"/>
      <c r="Y63" s="229"/>
      <c r="AA63" s="6" t="s">
        <v>376</v>
      </c>
    </row>
    <row r="64" spans="6:27" ht="45" customHeight="1" x14ac:dyDescent="0.3">
      <c r="F64" s="195" t="s">
        <v>301</v>
      </c>
      <c r="G64" s="195"/>
      <c r="H64" s="196"/>
      <c r="I64" s="195"/>
      <c r="J64" s="196">
        <f>IF(G47=AA47,10+SUM(J62:J63),SUM(J47:J63))</f>
        <v>11</v>
      </c>
      <c r="K64" s="196">
        <f>SUM(K47:K63)</f>
        <v>0</v>
      </c>
      <c r="L64" s="22" t="str">
        <f>IF(K64&gt;J64,"!","")</f>
        <v/>
      </c>
      <c r="M64" s="32">
        <f>SUM(M47:M63)</f>
        <v>0</v>
      </c>
      <c r="N64" s="32">
        <f>SUM(N47:N63)</f>
        <v>0</v>
      </c>
      <c r="Q64" s="113"/>
      <c r="R64" s="24"/>
      <c r="S64" s="139"/>
      <c r="T64" s="4"/>
      <c r="U64" s="162"/>
      <c r="V64" s="163"/>
      <c r="W64" s="163"/>
      <c r="X64" s="163"/>
      <c r="Y64" s="163"/>
    </row>
    <row r="65" spans="2:27" ht="45" customHeight="1" x14ac:dyDescent="0.3">
      <c r="L65" s="54"/>
      <c r="Q65" s="113"/>
      <c r="T65" s="4"/>
      <c r="U65" s="160"/>
      <c r="V65" s="161"/>
      <c r="W65" s="161"/>
      <c r="X65" s="161"/>
      <c r="Y65" s="161"/>
    </row>
    <row r="66" spans="2:27" ht="45" customHeight="1" x14ac:dyDescent="0.3">
      <c r="F66" s="198" t="s">
        <v>382</v>
      </c>
      <c r="G66" s="201"/>
      <c r="H66" s="202"/>
      <c r="I66" s="201"/>
      <c r="J66" s="197">
        <f>10-SUM(B67:B72)</f>
        <v>10</v>
      </c>
      <c r="K66" s="197"/>
      <c r="L66" s="18"/>
      <c r="M66" s="97"/>
      <c r="N66" s="97"/>
      <c r="O66" s="97"/>
      <c r="P66" s="97"/>
      <c r="Q66" s="109"/>
      <c r="R66" s="24"/>
      <c r="S66" s="138"/>
      <c r="T66" s="48"/>
      <c r="U66" s="148"/>
      <c r="V66" s="138"/>
      <c r="W66" s="138"/>
      <c r="X66" s="138"/>
      <c r="Y66" s="138"/>
    </row>
    <row r="67" spans="2:27" ht="45" customHeight="1" x14ac:dyDescent="0.3">
      <c r="F67" s="527" t="s">
        <v>458</v>
      </c>
      <c r="G67" s="515" t="s">
        <v>376</v>
      </c>
      <c r="H67" s="231" t="s">
        <v>608</v>
      </c>
      <c r="I67" s="232" t="s">
        <v>376</v>
      </c>
      <c r="J67" s="55">
        <f>IF(G67=AA67,10,0)</f>
        <v>10</v>
      </c>
      <c r="K67" s="49"/>
      <c r="L67" s="50"/>
      <c r="M67" s="23" t="str">
        <f>IF(OR(Q67=$AC$9,Q67=$AC$10),K67,"")</f>
        <v/>
      </c>
      <c r="N67" s="23" t="str">
        <f t="shared" ref="N67:N72" si="11">IF(Q67=$AC$11,K67,"")</f>
        <v/>
      </c>
      <c r="O67" s="23"/>
      <c r="P67" s="23"/>
      <c r="Q67" s="226"/>
      <c r="R67" s="85"/>
      <c r="S67" s="227"/>
      <c r="U67" s="228"/>
      <c r="V67" s="229"/>
      <c r="W67" s="229"/>
      <c r="X67" s="229"/>
      <c r="Y67" s="229"/>
      <c r="AA67" s="4" t="s">
        <v>376</v>
      </c>
    </row>
    <row r="68" spans="2:27" ht="45" customHeight="1" x14ac:dyDescent="0.3">
      <c r="F68" s="489"/>
      <c r="G68" s="515"/>
      <c r="H68" s="56" t="s">
        <v>460</v>
      </c>
      <c r="I68" s="57" t="s">
        <v>461</v>
      </c>
      <c r="J68" s="233">
        <f>IF($G$67=$AA$68,3,0)</f>
        <v>0</v>
      </c>
      <c r="K68" s="51"/>
      <c r="L68" s="50"/>
      <c r="M68" s="23" t="str">
        <f t="shared" ref="M68:M72" si="12">IF(OR(Q68=$AC$9,Q68=$AC$10),K68,"")</f>
        <v/>
      </c>
      <c r="N68" s="23" t="str">
        <f t="shared" si="11"/>
        <v/>
      </c>
      <c r="O68" s="23"/>
      <c r="P68" s="23"/>
      <c r="Q68" s="112"/>
      <c r="R68" s="85"/>
      <c r="S68" s="227"/>
      <c r="U68" s="228"/>
      <c r="V68" s="229"/>
      <c r="W68" s="229"/>
      <c r="X68" s="229"/>
      <c r="Y68" s="229"/>
      <c r="AA68" s="4" t="s">
        <v>379</v>
      </c>
    </row>
    <row r="69" spans="2:27" ht="45" customHeight="1" x14ac:dyDescent="0.3">
      <c r="B69" s="87">
        <f>IF(AND($G$67=$AA$68,C69=TRUE),1,0)</f>
        <v>0</v>
      </c>
      <c r="C69" s="87" t="b">
        <v>0</v>
      </c>
      <c r="F69" s="489"/>
      <c r="G69" s="515"/>
      <c r="H69" s="56" t="s">
        <v>462</v>
      </c>
      <c r="I69" s="84" t="s">
        <v>463</v>
      </c>
      <c r="J69" s="233">
        <f>IF(OR($G$67=$AA$67,C69=TRUE),0,1)</f>
        <v>0</v>
      </c>
      <c r="K69" s="51"/>
      <c r="L69" s="50"/>
      <c r="M69" s="23" t="str">
        <f t="shared" si="12"/>
        <v/>
      </c>
      <c r="N69" s="23" t="str">
        <f t="shared" si="11"/>
        <v/>
      </c>
      <c r="O69" s="23"/>
      <c r="P69" s="23"/>
      <c r="Q69" s="112"/>
      <c r="R69" s="85"/>
      <c r="S69" s="227"/>
      <c r="T69" s="4"/>
      <c r="U69" s="228"/>
      <c r="V69" s="229"/>
      <c r="W69" s="229"/>
      <c r="X69" s="229"/>
      <c r="Y69" s="229"/>
    </row>
    <row r="70" spans="2:27" ht="45" customHeight="1" x14ac:dyDescent="0.3">
      <c r="B70" s="87">
        <f>IF(AND($G$67=$AA$68,C70=TRUE),1,0)</f>
        <v>0</v>
      </c>
      <c r="C70" s="87" t="b">
        <v>0</v>
      </c>
      <c r="F70" s="489"/>
      <c r="G70" s="515"/>
      <c r="H70" s="56" t="s">
        <v>464</v>
      </c>
      <c r="I70" s="84" t="s">
        <v>465</v>
      </c>
      <c r="J70" s="233">
        <f>IF(OR($G$67=$AA$67,C70=TRUE),0,1)</f>
        <v>0</v>
      </c>
      <c r="K70" s="51"/>
      <c r="L70" s="50"/>
      <c r="M70" s="23" t="str">
        <f t="shared" si="12"/>
        <v/>
      </c>
      <c r="N70" s="23" t="str">
        <f t="shared" si="11"/>
        <v/>
      </c>
      <c r="O70" s="23"/>
      <c r="P70" s="23"/>
      <c r="Q70" s="112"/>
      <c r="R70" s="85"/>
      <c r="S70" s="227"/>
      <c r="T70" s="4"/>
      <c r="U70" s="228"/>
      <c r="V70" s="229"/>
      <c r="W70" s="229"/>
      <c r="X70" s="229"/>
      <c r="Y70" s="229"/>
    </row>
    <row r="71" spans="2:27" ht="45" customHeight="1" x14ac:dyDescent="0.3">
      <c r="F71" s="489"/>
      <c r="G71" s="515"/>
      <c r="H71" s="56" t="s">
        <v>466</v>
      </c>
      <c r="I71" s="57" t="s">
        <v>467</v>
      </c>
      <c r="J71" s="233">
        <f>IF($G$67=$AA$68,1,0)</f>
        <v>0</v>
      </c>
      <c r="K71" s="51"/>
      <c r="L71" s="50"/>
      <c r="M71" s="23" t="str">
        <f t="shared" si="12"/>
        <v/>
      </c>
      <c r="N71" s="23" t="str">
        <f t="shared" si="11"/>
        <v/>
      </c>
      <c r="O71" s="23"/>
      <c r="P71" s="23"/>
      <c r="Q71" s="112"/>
      <c r="R71" s="85"/>
      <c r="S71" s="227"/>
      <c r="T71" s="4"/>
      <c r="U71" s="228"/>
      <c r="V71" s="229"/>
      <c r="W71" s="229"/>
      <c r="X71" s="229"/>
      <c r="Y71" s="229"/>
    </row>
    <row r="72" spans="2:27" ht="45" customHeight="1" x14ac:dyDescent="0.3">
      <c r="F72" s="490"/>
      <c r="G72" s="515"/>
      <c r="H72" s="234" t="s">
        <v>468</v>
      </c>
      <c r="I72" s="235" t="s">
        <v>469</v>
      </c>
      <c r="J72" s="58">
        <f>IF($G$67=$AA$68,1,0)</f>
        <v>0</v>
      </c>
      <c r="K72" s="53"/>
      <c r="L72" s="50"/>
      <c r="M72" s="23" t="str">
        <f t="shared" si="12"/>
        <v/>
      </c>
      <c r="N72" s="23" t="str">
        <f t="shared" si="11"/>
        <v/>
      </c>
      <c r="O72" s="23"/>
      <c r="P72" s="23"/>
      <c r="Q72" s="112"/>
      <c r="R72" s="85"/>
      <c r="S72" s="227"/>
      <c r="T72" s="4"/>
      <c r="U72" s="228"/>
      <c r="V72" s="229"/>
      <c r="W72" s="229"/>
      <c r="X72" s="229"/>
      <c r="Y72" s="229"/>
    </row>
    <row r="73" spans="2:27" ht="45" customHeight="1" x14ac:dyDescent="0.3">
      <c r="F73" s="195" t="s">
        <v>301</v>
      </c>
      <c r="G73" s="195"/>
      <c r="H73" s="196"/>
      <c r="I73" s="195"/>
      <c r="J73" s="196">
        <f>SUM(J67:J72)</f>
        <v>10</v>
      </c>
      <c r="K73" s="196">
        <f>SUM(K67:K72)</f>
        <v>0</v>
      </c>
      <c r="L73" s="22" t="str">
        <f>IF(K73&gt;J73,"!","")</f>
        <v/>
      </c>
      <c r="M73" s="32">
        <f t="shared" ref="M73:N73" si="13">SUM(M67:M72)</f>
        <v>0</v>
      </c>
      <c r="N73" s="32">
        <f t="shared" si="13"/>
        <v>0</v>
      </c>
      <c r="Q73" s="113"/>
      <c r="R73" s="24"/>
      <c r="S73" s="139"/>
      <c r="T73" s="4"/>
      <c r="U73" s="162"/>
      <c r="V73" s="163"/>
      <c r="W73" s="163"/>
      <c r="X73" s="163"/>
      <c r="Y73" s="163"/>
    </row>
    <row r="74" spans="2:27" ht="45" customHeight="1" x14ac:dyDescent="0.3">
      <c r="L74" s="54"/>
      <c r="Q74" s="113"/>
      <c r="U74" s="160"/>
      <c r="V74" s="161"/>
      <c r="W74" s="161"/>
      <c r="X74" s="161"/>
      <c r="Y74" s="161"/>
    </row>
    <row r="75" spans="2:27" ht="45" customHeight="1" x14ac:dyDescent="0.3">
      <c r="F75" s="198" t="s">
        <v>384</v>
      </c>
      <c r="G75" s="201"/>
      <c r="H75" s="202"/>
      <c r="I75" s="201"/>
      <c r="J75" s="197">
        <f>12-SUM(B76:B81)</f>
        <v>12</v>
      </c>
      <c r="K75" s="197"/>
      <c r="L75" s="18"/>
      <c r="M75" s="97"/>
      <c r="N75" s="97"/>
      <c r="O75" s="97"/>
      <c r="P75" s="97"/>
      <c r="Q75" s="109"/>
      <c r="R75" s="24"/>
      <c r="S75" s="138"/>
      <c r="T75" s="48"/>
      <c r="U75" s="148"/>
      <c r="V75" s="138"/>
      <c r="W75" s="138"/>
      <c r="X75" s="138"/>
      <c r="Y75" s="138"/>
    </row>
    <row r="76" spans="2:27" ht="45" customHeight="1" x14ac:dyDescent="0.3">
      <c r="F76" s="513" t="s">
        <v>470</v>
      </c>
      <c r="G76" s="515" t="s">
        <v>376</v>
      </c>
      <c r="H76" s="231" t="s">
        <v>471</v>
      </c>
      <c r="I76" s="232" t="s">
        <v>472</v>
      </c>
      <c r="J76" s="55">
        <f>IF(G76=AA76,12,0)</f>
        <v>12</v>
      </c>
      <c r="K76" s="236"/>
      <c r="L76" s="50"/>
      <c r="M76" s="23" t="str">
        <f>IF(OR(Q76=$AC$9,Q76=$AC$10),K76,"")</f>
        <v/>
      </c>
      <c r="N76" s="23" t="str">
        <f t="shared" ref="N76:N81" si="14">IF(Q76=$AC$11,K76,"")</f>
        <v/>
      </c>
      <c r="O76" s="23"/>
      <c r="P76" s="23"/>
      <c r="Q76" s="226"/>
      <c r="R76" s="24"/>
      <c r="S76" s="227"/>
      <c r="T76" s="4"/>
      <c r="U76" s="228"/>
      <c r="V76" s="229"/>
      <c r="W76" s="229"/>
      <c r="X76" s="229"/>
      <c r="Y76" s="229"/>
      <c r="AA76" s="4" t="s">
        <v>376</v>
      </c>
    </row>
    <row r="77" spans="2:27" ht="45" customHeight="1" x14ac:dyDescent="0.3">
      <c r="F77" s="485"/>
      <c r="G77" s="515"/>
      <c r="H77" s="56" t="s">
        <v>473</v>
      </c>
      <c r="I77" s="57" t="s">
        <v>474</v>
      </c>
      <c r="J77" s="233">
        <f>IF($G$76=$AA$77,1,0)</f>
        <v>0</v>
      </c>
      <c r="K77" s="59"/>
      <c r="L77" s="50"/>
      <c r="M77" s="23" t="str">
        <f t="shared" ref="M77:M81" si="15">IF(OR(Q77=$AC$9,Q77=$AC$10),K77,"")</f>
        <v/>
      </c>
      <c r="N77" s="23" t="str">
        <f t="shared" si="14"/>
        <v/>
      </c>
      <c r="O77" s="23"/>
      <c r="P77" s="23"/>
      <c r="Q77" s="112"/>
      <c r="R77" s="24"/>
      <c r="S77" s="227"/>
      <c r="T77" s="4"/>
      <c r="U77" s="228"/>
      <c r="V77" s="229"/>
      <c r="W77" s="229"/>
      <c r="X77" s="229"/>
      <c r="Y77" s="229"/>
      <c r="AA77" s="4" t="s">
        <v>379</v>
      </c>
    </row>
    <row r="78" spans="2:27" ht="45" customHeight="1" x14ac:dyDescent="0.3">
      <c r="F78" s="485"/>
      <c r="G78" s="515"/>
      <c r="H78" s="56" t="s">
        <v>475</v>
      </c>
      <c r="I78" s="57" t="s">
        <v>476</v>
      </c>
      <c r="J78" s="233">
        <f t="shared" ref="J78" si="16">IF($G$76=$AA$77,1,0)</f>
        <v>0</v>
      </c>
      <c r="K78" s="59"/>
      <c r="L78" s="50"/>
      <c r="M78" s="23" t="str">
        <f t="shared" si="15"/>
        <v/>
      </c>
      <c r="N78" s="23" t="str">
        <f t="shared" si="14"/>
        <v/>
      </c>
      <c r="O78" s="23"/>
      <c r="P78" s="23"/>
      <c r="Q78" s="112"/>
      <c r="R78" s="24"/>
      <c r="S78" s="227"/>
      <c r="T78" s="4"/>
      <c r="U78" s="228"/>
      <c r="V78" s="229"/>
      <c r="W78" s="229"/>
      <c r="X78" s="229"/>
      <c r="Y78" s="229"/>
    </row>
    <row r="79" spans="2:27" ht="45" customHeight="1" x14ac:dyDescent="0.3">
      <c r="F79" s="485"/>
      <c r="G79" s="515"/>
      <c r="H79" s="56" t="s">
        <v>477</v>
      </c>
      <c r="I79" s="57" t="s">
        <v>478</v>
      </c>
      <c r="J79" s="233">
        <f>IF($G$76=$AA$77,2,0)</f>
        <v>0</v>
      </c>
      <c r="K79" s="59"/>
      <c r="L79" s="50"/>
      <c r="M79" s="23" t="str">
        <f t="shared" si="15"/>
        <v/>
      </c>
      <c r="N79" s="23" t="str">
        <f t="shared" si="14"/>
        <v/>
      </c>
      <c r="O79" s="23"/>
      <c r="P79" s="23"/>
      <c r="Q79" s="112"/>
      <c r="R79" s="24"/>
      <c r="S79" s="227"/>
      <c r="T79" s="4"/>
      <c r="U79" s="228"/>
      <c r="V79" s="229"/>
      <c r="W79" s="229"/>
      <c r="X79" s="229"/>
      <c r="Y79" s="229"/>
    </row>
    <row r="80" spans="2:27" ht="45" customHeight="1" x14ac:dyDescent="0.3">
      <c r="B80" s="87">
        <f>IF(AND($G$76=$AA$77,C80=TRUE),1,0)</f>
        <v>0</v>
      </c>
      <c r="C80" s="87" t="b">
        <v>0</v>
      </c>
      <c r="F80" s="485"/>
      <c r="G80" s="515"/>
      <c r="H80" s="56" t="s">
        <v>479</v>
      </c>
      <c r="I80" s="84" t="s">
        <v>480</v>
      </c>
      <c r="J80" s="233">
        <f>IF(OR($G$76=$AA$76,C80=TRUE),0,1)</f>
        <v>0</v>
      </c>
      <c r="K80" s="59"/>
      <c r="L80" s="50"/>
      <c r="M80" s="23" t="str">
        <f t="shared" si="15"/>
        <v/>
      </c>
      <c r="N80" s="23" t="str">
        <f t="shared" si="14"/>
        <v/>
      </c>
      <c r="O80" s="23"/>
      <c r="P80" s="23"/>
      <c r="Q80" s="112"/>
      <c r="R80" s="24"/>
      <c r="S80" s="227"/>
      <c r="T80" s="4"/>
      <c r="U80" s="228"/>
      <c r="V80" s="229"/>
      <c r="W80" s="229"/>
      <c r="X80" s="229"/>
      <c r="Y80" s="229"/>
    </row>
    <row r="81" spans="1:27" ht="45" customHeight="1" x14ac:dyDescent="0.3">
      <c r="B81" s="87">
        <f>IF(AND($G$76=$AA$77,C81=TRUE),1,0)</f>
        <v>0</v>
      </c>
      <c r="C81" s="87" t="b">
        <v>0</v>
      </c>
      <c r="F81" s="486"/>
      <c r="G81" s="515"/>
      <c r="H81" s="234" t="s">
        <v>481</v>
      </c>
      <c r="I81" s="84" t="s">
        <v>482</v>
      </c>
      <c r="J81" s="58">
        <f>IF(OR($G$76=$AA$76,C81=TRUE),0,1)</f>
        <v>0</v>
      </c>
      <c r="K81" s="237"/>
      <c r="L81" s="50"/>
      <c r="M81" s="23" t="str">
        <f t="shared" si="15"/>
        <v/>
      </c>
      <c r="N81" s="23" t="str">
        <f t="shared" si="14"/>
        <v/>
      </c>
      <c r="O81" s="23"/>
      <c r="P81" s="23"/>
      <c r="Q81" s="112"/>
      <c r="R81" s="24"/>
      <c r="S81" s="227"/>
      <c r="T81" s="4"/>
      <c r="U81" s="228"/>
      <c r="V81" s="229"/>
      <c r="W81" s="229"/>
      <c r="X81" s="229"/>
      <c r="Y81" s="229"/>
    </row>
    <row r="82" spans="1:27" ht="45" customHeight="1" x14ac:dyDescent="0.3">
      <c r="F82" s="195" t="s">
        <v>301</v>
      </c>
      <c r="G82" s="195"/>
      <c r="H82" s="196"/>
      <c r="I82" s="195"/>
      <c r="J82" s="196">
        <f>SUM(J76:J81)</f>
        <v>12</v>
      </c>
      <c r="K82" s="196">
        <f>SUM(K76:K81)</f>
        <v>0</v>
      </c>
      <c r="L82" s="22" t="str">
        <f>IF(K82&gt;J82,"!","")</f>
        <v/>
      </c>
      <c r="M82" s="32">
        <f t="shared" ref="M82:N82" si="17">SUM(M76:M81)</f>
        <v>0</v>
      </c>
      <c r="N82" s="32">
        <f t="shared" si="17"/>
        <v>0</v>
      </c>
      <c r="Q82" s="113"/>
      <c r="R82" s="24"/>
      <c r="S82" s="139"/>
      <c r="T82" s="4"/>
      <c r="U82" s="162"/>
      <c r="V82" s="163"/>
      <c r="W82" s="163"/>
      <c r="X82" s="163"/>
      <c r="Y82" s="163"/>
    </row>
    <row r="83" spans="1:27" ht="45" customHeight="1" x14ac:dyDescent="0.3">
      <c r="L83" s="54"/>
      <c r="Q83" s="113"/>
      <c r="U83" s="160"/>
      <c r="V83" s="161"/>
      <c r="W83" s="161"/>
      <c r="X83" s="161"/>
      <c r="Y83" s="161"/>
    </row>
    <row r="84" spans="1:27" ht="45" customHeight="1" x14ac:dyDescent="0.3">
      <c r="F84" s="198" t="s">
        <v>386</v>
      </c>
      <c r="G84" s="201"/>
      <c r="H84" s="197"/>
      <c r="I84" s="201"/>
      <c r="J84" s="197">
        <f>14-SUM(B85:B95)</f>
        <v>14</v>
      </c>
      <c r="K84" s="197"/>
      <c r="L84" s="18"/>
      <c r="M84" s="97"/>
      <c r="N84" s="97"/>
      <c r="O84" s="97"/>
      <c r="P84" s="97"/>
      <c r="Q84" s="109"/>
      <c r="R84" s="24"/>
      <c r="S84" s="138"/>
      <c r="T84" s="48"/>
      <c r="U84" s="148"/>
      <c r="V84" s="138"/>
      <c r="W84" s="138"/>
      <c r="X84" s="138"/>
      <c r="Y84" s="138"/>
      <c r="AA84" s="4"/>
    </row>
    <row r="85" spans="1:27" ht="45" customHeight="1" x14ac:dyDescent="0.3">
      <c r="F85" s="517" t="s">
        <v>321</v>
      </c>
      <c r="G85" s="515" t="s">
        <v>509</v>
      </c>
      <c r="H85" s="219" t="s">
        <v>485</v>
      </c>
      <c r="I85" s="220" t="s">
        <v>486</v>
      </c>
      <c r="J85" s="221">
        <f>IF($G$85=$AA$85,6,0)</f>
        <v>6</v>
      </c>
      <c r="K85" s="52"/>
      <c r="L85" s="50" t="str">
        <f>IF(SUM(K85:K86)&gt;7,"!", "")</f>
        <v/>
      </c>
      <c r="M85" s="23" t="str">
        <f>IF(OR(Q85=$AC$9,Q85=$AC$10),K85,"")</f>
        <v/>
      </c>
      <c r="N85" s="23" t="str">
        <f t="shared" ref="N85:N95" si="18">IF(Q85=$AC$11,K85,"")</f>
        <v/>
      </c>
      <c r="O85" s="23"/>
      <c r="P85" s="23"/>
      <c r="Q85" s="226"/>
      <c r="R85" s="24"/>
      <c r="S85" s="227"/>
      <c r="T85" s="4"/>
      <c r="U85" s="228"/>
      <c r="V85" s="229"/>
      <c r="W85" s="229"/>
      <c r="X85" s="229"/>
      <c r="Y85" s="229"/>
      <c r="AA85" s="24" t="s">
        <v>509</v>
      </c>
    </row>
    <row r="86" spans="1:27" ht="45" customHeight="1" x14ac:dyDescent="0.3">
      <c r="F86" s="518"/>
      <c r="G86" s="515"/>
      <c r="H86" s="219" t="s">
        <v>487</v>
      </c>
      <c r="I86" s="220" t="s">
        <v>609</v>
      </c>
      <c r="J86" s="221">
        <v>4</v>
      </c>
      <c r="K86" s="52"/>
      <c r="L86" s="50" t="str">
        <f>IF(SUM(K85:K86)&gt;7,"!", "")</f>
        <v/>
      </c>
      <c r="M86" s="23" t="str">
        <f t="shared" ref="M86:M95" si="19">IF(OR(Q86=$AC$9,Q86=$AC$10),K86,"")</f>
        <v/>
      </c>
      <c r="N86" s="23" t="str">
        <f t="shared" si="18"/>
        <v/>
      </c>
      <c r="O86" s="23"/>
      <c r="P86" s="23"/>
      <c r="Q86" s="112"/>
      <c r="R86" s="24"/>
      <c r="S86" s="227"/>
      <c r="T86" s="4"/>
      <c r="U86" s="228"/>
      <c r="V86" s="229"/>
      <c r="W86" s="229"/>
      <c r="X86" s="229"/>
      <c r="Y86" s="229"/>
      <c r="AA86" s="6" t="s">
        <v>484</v>
      </c>
    </row>
    <row r="87" spans="1:27" ht="45" customHeight="1" x14ac:dyDescent="0.3">
      <c r="F87" s="518"/>
      <c r="G87" s="515"/>
      <c r="H87" s="219" t="s">
        <v>489</v>
      </c>
      <c r="I87" s="222" t="s">
        <v>490</v>
      </c>
      <c r="J87" s="221">
        <f>IF($G$85=$AA$86,3,0)</f>
        <v>0</v>
      </c>
      <c r="K87" s="52"/>
      <c r="L87" s="484" t="str">
        <f>IF(SUM(K87:K89)&gt;5,"Error: the total number of points available for the 'Material Use' Pathway is 5. Please enter a points score less than or equal to 5.","")</f>
        <v/>
      </c>
      <c r="M87" s="23" t="str">
        <f t="shared" si="19"/>
        <v/>
      </c>
      <c r="N87" s="23" t="str">
        <f t="shared" si="18"/>
        <v/>
      </c>
      <c r="O87" s="23"/>
      <c r="P87" s="23"/>
      <c r="Q87" s="112"/>
      <c r="R87" s="24"/>
      <c r="S87" s="227"/>
      <c r="T87" s="4"/>
      <c r="U87" s="228"/>
      <c r="V87" s="229"/>
      <c r="W87" s="229"/>
      <c r="X87" s="229"/>
      <c r="Y87" s="229"/>
    </row>
    <row r="88" spans="1:27" ht="45" customHeight="1" x14ac:dyDescent="0.3">
      <c r="F88" s="518"/>
      <c r="G88" s="515"/>
      <c r="H88" s="219" t="s">
        <v>491</v>
      </c>
      <c r="I88" s="222" t="s">
        <v>492</v>
      </c>
      <c r="J88" s="221">
        <f>IF($G$85=$AA$86,1,0)</f>
        <v>0</v>
      </c>
      <c r="K88" s="52"/>
      <c r="L88" s="484"/>
      <c r="M88" s="23" t="str">
        <f t="shared" si="19"/>
        <v/>
      </c>
      <c r="N88" s="23" t="str">
        <f t="shared" si="18"/>
        <v/>
      </c>
      <c r="O88" s="23"/>
      <c r="P88" s="23"/>
      <c r="Q88" s="112"/>
      <c r="R88" s="24"/>
      <c r="S88" s="227"/>
      <c r="T88" s="4"/>
      <c r="U88" s="228"/>
      <c r="V88" s="229"/>
      <c r="W88" s="229"/>
      <c r="X88" s="229"/>
      <c r="Y88" s="229"/>
    </row>
    <row r="89" spans="1:27" ht="45" customHeight="1" x14ac:dyDescent="0.3">
      <c r="A89" s="87">
        <v>4</v>
      </c>
      <c r="B89" s="87">
        <f t="shared" ref="B89:B92" si="20">IF(C89=TRUE,A89,0)</f>
        <v>0</v>
      </c>
      <c r="F89" s="519"/>
      <c r="G89" s="515"/>
      <c r="H89" s="219" t="s">
        <v>493</v>
      </c>
      <c r="I89" s="223" t="s">
        <v>494</v>
      </c>
      <c r="J89" s="221">
        <f>IF($G$85=$AA$86,4,0)</f>
        <v>0</v>
      </c>
      <c r="K89" s="52"/>
      <c r="L89" s="484"/>
      <c r="M89" s="23" t="str">
        <f t="shared" si="19"/>
        <v/>
      </c>
      <c r="N89" s="23" t="str">
        <f t="shared" si="18"/>
        <v/>
      </c>
      <c r="O89" s="23"/>
      <c r="P89" s="23"/>
      <c r="Q89" s="112"/>
      <c r="R89" s="24"/>
      <c r="S89" s="227"/>
      <c r="T89" s="4"/>
      <c r="U89" s="228"/>
      <c r="V89" s="229"/>
      <c r="W89" s="229"/>
      <c r="X89" s="229"/>
      <c r="Y89" s="229"/>
    </row>
    <row r="90" spans="1:27" ht="45" customHeight="1" x14ac:dyDescent="0.3">
      <c r="A90" s="87">
        <v>1</v>
      </c>
      <c r="B90" s="87">
        <f t="shared" si="20"/>
        <v>0</v>
      </c>
      <c r="C90" s="87" t="b">
        <v>0</v>
      </c>
      <c r="F90" s="492" t="s">
        <v>496</v>
      </c>
      <c r="G90" s="525" t="s">
        <v>610</v>
      </c>
      <c r="H90" s="81">
        <v>20.100000000000001</v>
      </c>
      <c r="I90" s="80" t="s">
        <v>498</v>
      </c>
      <c r="J90" s="221">
        <f>IF(C90=TRUE,0,1)</f>
        <v>1</v>
      </c>
      <c r="K90" s="44"/>
      <c r="L90" s="50"/>
      <c r="M90" s="23" t="str">
        <f t="shared" si="19"/>
        <v/>
      </c>
      <c r="N90" s="23" t="str">
        <f t="shared" si="18"/>
        <v/>
      </c>
      <c r="O90" s="23"/>
      <c r="P90" s="23"/>
      <c r="Q90" s="112"/>
      <c r="R90" s="24"/>
      <c r="S90" s="227"/>
      <c r="T90" s="4"/>
      <c r="U90" s="228"/>
      <c r="V90" s="229"/>
      <c r="W90" s="229"/>
      <c r="X90" s="229"/>
      <c r="Y90" s="229"/>
    </row>
    <row r="91" spans="1:27" ht="45" customHeight="1" x14ac:dyDescent="0.3">
      <c r="A91" s="87">
        <v>1</v>
      </c>
      <c r="B91" s="87">
        <f t="shared" si="20"/>
        <v>0</v>
      </c>
      <c r="C91" s="87" t="b">
        <v>0</v>
      </c>
      <c r="F91" s="506"/>
      <c r="G91" s="521"/>
      <c r="H91" s="81">
        <v>20.2</v>
      </c>
      <c r="I91" s="80" t="s">
        <v>611</v>
      </c>
      <c r="J91" s="221">
        <f t="shared" ref="J91:J92" si="21">IF(C91=TRUE,0,1)</f>
        <v>1</v>
      </c>
      <c r="K91" s="44"/>
      <c r="L91" s="22"/>
      <c r="M91" s="23" t="str">
        <f t="shared" si="19"/>
        <v/>
      </c>
      <c r="N91" s="23" t="str">
        <f t="shared" si="18"/>
        <v/>
      </c>
      <c r="O91" s="23"/>
      <c r="P91" s="23"/>
      <c r="Q91" s="112"/>
      <c r="R91" s="24"/>
      <c r="S91" s="227"/>
      <c r="T91" s="4"/>
      <c r="U91" s="228"/>
      <c r="V91" s="229"/>
      <c r="W91" s="229"/>
      <c r="X91" s="229"/>
      <c r="Y91" s="229"/>
    </row>
    <row r="92" spans="1:27" ht="45" customHeight="1" x14ac:dyDescent="0.3">
      <c r="A92" s="87">
        <v>1</v>
      </c>
      <c r="B92" s="87">
        <f t="shared" si="20"/>
        <v>0</v>
      </c>
      <c r="C92" s="87" t="b">
        <v>0</v>
      </c>
      <c r="F92" s="493"/>
      <c r="G92" s="522"/>
      <c r="H92" s="81">
        <v>20.3</v>
      </c>
      <c r="I92" s="80" t="s">
        <v>500</v>
      </c>
      <c r="J92" s="221">
        <f t="shared" si="21"/>
        <v>1</v>
      </c>
      <c r="K92" s="44"/>
      <c r="L92" s="22"/>
      <c r="M92" s="23" t="str">
        <f t="shared" si="19"/>
        <v/>
      </c>
      <c r="N92" s="23" t="str">
        <f t="shared" si="18"/>
        <v/>
      </c>
      <c r="O92" s="23"/>
      <c r="P92" s="23"/>
      <c r="Q92" s="112"/>
      <c r="R92" s="24"/>
      <c r="S92" s="227"/>
      <c r="T92" s="4"/>
      <c r="U92" s="228"/>
      <c r="V92" s="229"/>
      <c r="W92" s="229"/>
      <c r="X92" s="229"/>
      <c r="Y92" s="229"/>
    </row>
    <row r="93" spans="1:27" ht="45" customHeight="1" x14ac:dyDescent="0.3">
      <c r="F93" s="189" t="s">
        <v>501</v>
      </c>
      <c r="G93" s="27" t="s">
        <v>612</v>
      </c>
      <c r="H93" s="79">
        <v>21.1</v>
      </c>
      <c r="I93" s="80" t="s">
        <v>503</v>
      </c>
      <c r="J93" s="221">
        <v>3</v>
      </c>
      <c r="K93" s="44"/>
      <c r="L93" s="18"/>
      <c r="M93" s="23" t="str">
        <f t="shared" si="19"/>
        <v/>
      </c>
      <c r="N93" s="23" t="str">
        <f>IF(Q93=$AC$11,K93,"")</f>
        <v/>
      </c>
      <c r="O93" s="23"/>
      <c r="P93" s="23"/>
      <c r="Q93" s="112"/>
      <c r="R93" s="24"/>
      <c r="S93" s="227"/>
      <c r="T93" s="4"/>
      <c r="U93" s="228"/>
      <c r="V93" s="229"/>
      <c r="W93" s="229"/>
      <c r="X93" s="229"/>
      <c r="Y93" s="229"/>
    </row>
    <row r="94" spans="1:27" ht="45" customHeight="1" x14ac:dyDescent="0.3">
      <c r="F94" s="492" t="s">
        <v>504</v>
      </c>
      <c r="G94" s="524" t="s">
        <v>505</v>
      </c>
      <c r="H94" s="115" t="s">
        <v>506</v>
      </c>
      <c r="I94" s="80" t="s">
        <v>505</v>
      </c>
      <c r="J94" s="221">
        <f>IF(G94=AA94,1,"-")</f>
        <v>1</v>
      </c>
      <c r="K94" s="44"/>
      <c r="L94" s="18"/>
      <c r="M94" s="23"/>
      <c r="N94" s="23"/>
      <c r="O94" s="23"/>
      <c r="P94" s="23"/>
      <c r="Q94" s="112"/>
      <c r="R94" s="24"/>
      <c r="S94" s="227"/>
      <c r="T94" s="4"/>
      <c r="U94" s="228"/>
      <c r="V94" s="229"/>
      <c r="W94" s="229"/>
      <c r="X94" s="229"/>
      <c r="Y94" s="229"/>
      <c r="AA94" s="6" t="s">
        <v>505</v>
      </c>
    </row>
    <row r="95" spans="1:27" ht="45" customHeight="1" x14ac:dyDescent="0.3">
      <c r="F95" s="493"/>
      <c r="G95" s="511"/>
      <c r="H95" s="115" t="s">
        <v>507</v>
      </c>
      <c r="I95" s="168" t="s">
        <v>508</v>
      </c>
      <c r="J95" s="221" t="str">
        <f>IF(G94=AA95,1,"-")</f>
        <v>-</v>
      </c>
      <c r="K95" s="44"/>
      <c r="L95" s="22"/>
      <c r="M95" s="23" t="str">
        <f t="shared" si="19"/>
        <v/>
      </c>
      <c r="N95" s="23" t="str">
        <f t="shared" si="18"/>
        <v/>
      </c>
      <c r="O95" s="23"/>
      <c r="P95" s="23"/>
      <c r="Q95" s="112"/>
      <c r="R95" s="24"/>
      <c r="S95" s="227"/>
      <c r="T95" s="4"/>
      <c r="U95" s="228"/>
      <c r="V95" s="229"/>
      <c r="W95" s="229"/>
      <c r="X95" s="229"/>
      <c r="Y95" s="229"/>
      <c r="AA95" s="6" t="s">
        <v>508</v>
      </c>
    </row>
    <row r="96" spans="1:27" ht="45" customHeight="1" x14ac:dyDescent="0.3">
      <c r="F96" s="195" t="s">
        <v>301</v>
      </c>
      <c r="G96" s="195"/>
      <c r="H96" s="196"/>
      <c r="I96" s="195"/>
      <c r="J96" s="196">
        <f>IF(G85=AA86,12,14)</f>
        <v>14</v>
      </c>
      <c r="K96" s="196">
        <f>SUM(K85:K95)</f>
        <v>0</v>
      </c>
      <c r="L96" s="22" t="str">
        <f>IF(K96&gt;J96,"!","")</f>
        <v/>
      </c>
      <c r="M96" s="32">
        <f>SUM(M85:M95)</f>
        <v>0</v>
      </c>
      <c r="N96" s="32">
        <f>SUM(N85:N95)</f>
        <v>0</v>
      </c>
      <c r="Q96" s="113"/>
      <c r="R96" s="24"/>
      <c r="S96" s="139"/>
      <c r="T96" s="4"/>
      <c r="U96" s="162"/>
      <c r="V96" s="163"/>
      <c r="W96" s="163"/>
      <c r="X96" s="163"/>
      <c r="Y96" s="163"/>
    </row>
    <row r="97" spans="1:25" ht="45" customHeight="1" x14ac:dyDescent="0.3">
      <c r="L97" s="54"/>
      <c r="Q97" s="113"/>
      <c r="R97" s="92"/>
      <c r="U97" s="160"/>
      <c r="V97" s="161"/>
      <c r="W97" s="161"/>
      <c r="X97" s="161"/>
      <c r="Y97" s="161"/>
    </row>
    <row r="98" spans="1:25" ht="45" customHeight="1" x14ac:dyDescent="0.3">
      <c r="F98" s="520" t="s">
        <v>510</v>
      </c>
      <c r="G98" s="520"/>
      <c r="H98" s="520"/>
      <c r="I98" s="520"/>
      <c r="J98" s="197">
        <f>6-SUM(B99:B104)</f>
        <v>6</v>
      </c>
      <c r="K98" s="197"/>
      <c r="L98" s="18"/>
      <c r="M98" s="526"/>
      <c r="N98" s="526"/>
      <c r="O98" s="167"/>
      <c r="P98" s="167"/>
      <c r="Q98" s="109"/>
      <c r="R98" s="92"/>
      <c r="S98" s="138"/>
      <c r="T98" s="48"/>
      <c r="U98" s="148"/>
      <c r="V98" s="138"/>
      <c r="W98" s="138"/>
      <c r="X98" s="138"/>
      <c r="Y98" s="138"/>
    </row>
    <row r="99" spans="1:25" ht="45" customHeight="1" x14ac:dyDescent="0.3">
      <c r="F99" s="493" t="s">
        <v>511</v>
      </c>
      <c r="G99" s="508" t="s">
        <v>512</v>
      </c>
      <c r="H99" s="206">
        <v>23</v>
      </c>
      <c r="I99" s="224" t="s">
        <v>513</v>
      </c>
      <c r="J99" s="211" t="s">
        <v>569</v>
      </c>
      <c r="K99" s="61"/>
      <c r="L99" s="50"/>
      <c r="M99" s="23" t="str">
        <f>IF(OR(Q99=$AC$9,Q99=$AC$10),K99,"")</f>
        <v/>
      </c>
      <c r="N99" s="23" t="str">
        <f t="shared" ref="N99:N104" si="22">IF(Q99=$AC$11,K99,"")</f>
        <v/>
      </c>
      <c r="O99" s="23"/>
      <c r="P99" s="23"/>
      <c r="Q99" s="226"/>
      <c r="S99" s="227"/>
      <c r="T99" s="4"/>
      <c r="U99" s="228"/>
      <c r="V99" s="229"/>
      <c r="W99" s="229"/>
      <c r="X99" s="229"/>
      <c r="Y99" s="229"/>
    </row>
    <row r="100" spans="1:25" ht="45" customHeight="1" x14ac:dyDescent="0.3">
      <c r="F100" s="496"/>
      <c r="G100" s="509"/>
      <c r="H100" s="26">
        <v>23.1</v>
      </c>
      <c r="I100" s="42" t="s">
        <v>511</v>
      </c>
      <c r="J100" s="20">
        <v>3</v>
      </c>
      <c r="K100" s="52"/>
      <c r="L100" s="22" t="str">
        <f>IF(AND(K100&gt;0,$K99&lt;&gt;$AD$8),"!","")</f>
        <v/>
      </c>
      <c r="M100" s="23" t="str">
        <f t="shared" ref="M100:M104" si="23">IF(OR(Q100=$AC$9,Q100=$AC$10),K100,"")</f>
        <v/>
      </c>
      <c r="N100" s="23" t="str">
        <f t="shared" si="22"/>
        <v/>
      </c>
      <c r="O100" s="23"/>
      <c r="P100" s="23"/>
      <c r="Q100" s="112"/>
      <c r="S100" s="227"/>
      <c r="T100" s="4"/>
      <c r="U100" s="228"/>
      <c r="V100" s="229"/>
      <c r="W100" s="229"/>
      <c r="X100" s="229"/>
      <c r="Y100" s="229"/>
    </row>
    <row r="101" spans="1:25" ht="45" customHeight="1" x14ac:dyDescent="0.3">
      <c r="F101" s="496" t="s">
        <v>514</v>
      </c>
      <c r="G101" s="507" t="s">
        <v>613</v>
      </c>
      <c r="H101" s="26">
        <v>24</v>
      </c>
      <c r="I101" s="62" t="s">
        <v>450</v>
      </c>
      <c r="J101" s="20" t="s">
        <v>569</v>
      </c>
      <c r="K101" s="52"/>
      <c r="L101" s="50"/>
      <c r="M101" s="23" t="str">
        <f t="shared" si="23"/>
        <v/>
      </c>
      <c r="N101" s="23" t="str">
        <f t="shared" si="22"/>
        <v/>
      </c>
      <c r="O101" s="23"/>
      <c r="P101" s="23"/>
      <c r="Q101" s="112"/>
      <c r="S101" s="227"/>
      <c r="T101" s="4"/>
      <c r="U101" s="228"/>
      <c r="V101" s="229"/>
      <c r="W101" s="229"/>
      <c r="X101" s="229"/>
      <c r="Y101" s="229"/>
    </row>
    <row r="102" spans="1:25" ht="45" customHeight="1" x14ac:dyDescent="0.3">
      <c r="F102" s="496"/>
      <c r="G102" s="508"/>
      <c r="H102" s="26">
        <v>24.1</v>
      </c>
      <c r="I102" s="62" t="s">
        <v>516</v>
      </c>
      <c r="J102" s="20">
        <v>1</v>
      </c>
      <c r="K102" s="52"/>
      <c r="L102" s="22" t="str">
        <f>IF(AND(K102&gt;0,$K$101&lt;&gt;$AD$8),"!","")</f>
        <v/>
      </c>
      <c r="M102" s="23" t="str">
        <f t="shared" si="23"/>
        <v/>
      </c>
      <c r="N102" s="23" t="str">
        <f t="shared" si="22"/>
        <v/>
      </c>
      <c r="O102" s="23"/>
      <c r="P102" s="23"/>
      <c r="Q102" s="112"/>
      <c r="S102" s="227"/>
      <c r="T102" s="4"/>
      <c r="U102" s="228"/>
      <c r="V102" s="229"/>
      <c r="W102" s="229"/>
      <c r="X102" s="229"/>
      <c r="Y102" s="229"/>
    </row>
    <row r="103" spans="1:25" ht="45" customHeight="1" x14ac:dyDescent="0.3">
      <c r="A103" s="87">
        <v>1</v>
      </c>
      <c r="B103" s="87">
        <f t="shared" ref="B103" si="24">IF(C103=TRUE,A103,0)</f>
        <v>0</v>
      </c>
      <c r="C103" s="87" t="b">
        <v>0</v>
      </c>
      <c r="F103" s="496"/>
      <c r="G103" s="509"/>
      <c r="H103" s="26">
        <v>24.2</v>
      </c>
      <c r="I103" s="62" t="s">
        <v>517</v>
      </c>
      <c r="J103" s="20">
        <f>IF(C103=FALSE,1,0)</f>
        <v>1</v>
      </c>
      <c r="K103" s="52"/>
      <c r="L103" s="22" t="str">
        <f>IF(AND(K103&gt;0,$K$101&lt;&gt;$AD$8),"!","")</f>
        <v/>
      </c>
      <c r="M103" s="23" t="str">
        <f t="shared" si="23"/>
        <v/>
      </c>
      <c r="N103" s="23" t="str">
        <f t="shared" si="22"/>
        <v/>
      </c>
      <c r="O103" s="23"/>
      <c r="P103" s="23"/>
      <c r="Q103" s="112"/>
      <c r="S103" s="227"/>
      <c r="T103" s="4"/>
      <c r="U103" s="228"/>
      <c r="V103" s="229"/>
      <c r="W103" s="229"/>
      <c r="X103" s="229"/>
      <c r="Y103" s="229"/>
    </row>
    <row r="104" spans="1:25" ht="45" customHeight="1" x14ac:dyDescent="0.3">
      <c r="F104" s="192" t="s">
        <v>614</v>
      </c>
      <c r="G104" s="194" t="s">
        <v>615</v>
      </c>
      <c r="H104" s="225">
        <v>25</v>
      </c>
      <c r="I104" s="238" t="s">
        <v>616</v>
      </c>
      <c r="J104" s="213">
        <v>1</v>
      </c>
      <c r="K104" s="63"/>
      <c r="L104" s="22"/>
      <c r="M104" s="23" t="str">
        <f t="shared" si="23"/>
        <v/>
      </c>
      <c r="N104" s="23" t="str">
        <f t="shared" si="22"/>
        <v/>
      </c>
      <c r="O104" s="23"/>
      <c r="P104" s="23"/>
      <c r="Q104" s="112"/>
      <c r="S104" s="227"/>
      <c r="T104" s="4"/>
      <c r="U104" s="228"/>
      <c r="V104" s="229"/>
      <c r="W104" s="229"/>
      <c r="X104" s="229"/>
      <c r="Y104" s="229"/>
    </row>
    <row r="105" spans="1:25" ht="45" customHeight="1" x14ac:dyDescent="0.3">
      <c r="F105" s="195" t="s">
        <v>301</v>
      </c>
      <c r="G105" s="195"/>
      <c r="H105" s="196"/>
      <c r="I105" s="195"/>
      <c r="J105" s="196">
        <f>SUM(J99:J104)</f>
        <v>6</v>
      </c>
      <c r="K105" s="196">
        <f>SUM(K99:K104)</f>
        <v>0</v>
      </c>
      <c r="L105" s="22" t="str">
        <f>IF(K105&gt;J105,"!","")</f>
        <v/>
      </c>
      <c r="M105" s="32">
        <f t="shared" ref="M105:N105" si="25">SUM(M99:M104)</f>
        <v>0</v>
      </c>
      <c r="N105" s="32">
        <f t="shared" si="25"/>
        <v>0</v>
      </c>
      <c r="Q105" s="113"/>
      <c r="R105" s="24"/>
      <c r="S105" s="139"/>
      <c r="T105" s="4"/>
      <c r="U105" s="162"/>
      <c r="V105" s="163"/>
      <c r="W105" s="163"/>
      <c r="X105" s="163"/>
      <c r="Y105" s="163"/>
    </row>
    <row r="106" spans="1:25" ht="45" customHeight="1" x14ac:dyDescent="0.3">
      <c r="L106" s="54"/>
      <c r="Q106" s="113"/>
      <c r="U106" s="160"/>
      <c r="V106" s="161"/>
      <c r="W106" s="161"/>
      <c r="X106" s="161"/>
      <c r="Y106" s="161"/>
    </row>
    <row r="107" spans="1:25" ht="45" customHeight="1" x14ac:dyDescent="0.3">
      <c r="F107" s="520" t="s">
        <v>392</v>
      </c>
      <c r="G107" s="520"/>
      <c r="H107" s="520"/>
      <c r="I107" s="520"/>
      <c r="J107" s="197">
        <f>5-SUM(B108:B113)</f>
        <v>5</v>
      </c>
      <c r="K107" s="197"/>
      <c r="L107" s="18"/>
      <c r="M107" s="97"/>
      <c r="N107" s="97"/>
      <c r="O107" s="97"/>
      <c r="P107" s="97"/>
      <c r="Q107" s="109"/>
      <c r="R107" s="24"/>
      <c r="S107" s="138"/>
      <c r="T107" s="48"/>
      <c r="U107" s="148"/>
      <c r="V107" s="138"/>
      <c r="W107" s="138"/>
      <c r="X107" s="138"/>
      <c r="Y107" s="138"/>
    </row>
    <row r="108" spans="1:25" ht="45" customHeight="1" x14ac:dyDescent="0.3">
      <c r="F108" s="493" t="s">
        <v>518</v>
      </c>
      <c r="G108" s="508" t="s">
        <v>617</v>
      </c>
      <c r="H108" s="206">
        <v>26.1</v>
      </c>
      <c r="I108" s="42" t="s">
        <v>520</v>
      </c>
      <c r="J108" s="211">
        <v>1</v>
      </c>
      <c r="K108" s="61"/>
      <c r="L108" s="50"/>
      <c r="M108" s="23" t="str">
        <f>IF(OR(Q108=$AC$9,Q108=$AC$10),K108,"")</f>
        <v/>
      </c>
      <c r="N108" s="23" t="str">
        <f t="shared" ref="N108:N113" si="26">IF(Q108=$AC$11,K108,"")</f>
        <v/>
      </c>
      <c r="O108" s="23"/>
      <c r="P108" s="23"/>
      <c r="Q108" s="226"/>
      <c r="R108" s="4"/>
      <c r="S108" s="227"/>
      <c r="T108" s="4"/>
      <c r="U108" s="228"/>
      <c r="V108" s="229"/>
      <c r="W108" s="229"/>
      <c r="X108" s="229"/>
      <c r="Y108" s="229"/>
    </row>
    <row r="109" spans="1:25" ht="45" customHeight="1" x14ac:dyDescent="0.3">
      <c r="F109" s="496"/>
      <c r="G109" s="509"/>
      <c r="H109" s="26">
        <v>26.2</v>
      </c>
      <c r="I109" s="42" t="s">
        <v>521</v>
      </c>
      <c r="J109" s="20">
        <v>1</v>
      </c>
      <c r="K109" s="52"/>
      <c r="L109" s="50"/>
      <c r="M109" s="23" t="str">
        <f t="shared" ref="M109:M113" si="27">IF(OR(Q109=$AC$9,Q109=$AC$10),K109,"")</f>
        <v/>
      </c>
      <c r="N109" s="23" t="str">
        <f t="shared" si="26"/>
        <v/>
      </c>
      <c r="O109" s="23"/>
      <c r="P109" s="23"/>
      <c r="Q109" s="112"/>
      <c r="R109" s="4"/>
      <c r="S109" s="227"/>
      <c r="T109" s="4"/>
      <c r="U109" s="228"/>
      <c r="V109" s="229"/>
      <c r="W109" s="229"/>
      <c r="X109" s="229"/>
      <c r="Y109" s="229"/>
    </row>
    <row r="110" spans="1:25" ht="45" customHeight="1" x14ac:dyDescent="0.3">
      <c r="F110" s="496" t="s">
        <v>522</v>
      </c>
      <c r="G110" s="507" t="s">
        <v>523</v>
      </c>
      <c r="H110" s="26">
        <v>27</v>
      </c>
      <c r="I110" s="62" t="s">
        <v>524</v>
      </c>
      <c r="J110" s="20" t="s">
        <v>569</v>
      </c>
      <c r="K110" s="52"/>
      <c r="L110" s="50"/>
      <c r="M110" s="23" t="str">
        <f t="shared" si="27"/>
        <v/>
      </c>
      <c r="N110" s="23" t="str">
        <f t="shared" si="26"/>
        <v/>
      </c>
      <c r="O110" s="23"/>
      <c r="P110" s="23"/>
      <c r="Q110" s="112"/>
      <c r="R110" s="4"/>
      <c r="S110" s="227"/>
      <c r="T110" s="4"/>
      <c r="U110" s="228"/>
      <c r="V110" s="229"/>
      <c r="W110" s="229"/>
      <c r="X110" s="229"/>
      <c r="Y110" s="229"/>
    </row>
    <row r="111" spans="1:25" ht="45" customHeight="1" x14ac:dyDescent="0.3">
      <c r="F111" s="496"/>
      <c r="G111" s="509"/>
      <c r="H111" s="28">
        <v>27.1</v>
      </c>
      <c r="I111" s="62" t="s">
        <v>525</v>
      </c>
      <c r="J111" s="20">
        <v>1</v>
      </c>
      <c r="K111" s="52"/>
      <c r="L111" s="22" t="str">
        <f>IF(AND(K111&gt;0,$K110&lt;&gt;$AD$8),"!","")</f>
        <v/>
      </c>
      <c r="M111" s="23" t="str">
        <f t="shared" si="27"/>
        <v/>
      </c>
      <c r="N111" s="23" t="str">
        <f t="shared" si="26"/>
        <v/>
      </c>
      <c r="O111" s="23"/>
      <c r="P111" s="23"/>
      <c r="Q111" s="112"/>
      <c r="R111" s="4"/>
      <c r="S111" s="227"/>
      <c r="T111" s="4"/>
      <c r="U111" s="228"/>
      <c r="V111" s="229"/>
      <c r="W111" s="229"/>
      <c r="X111" s="229"/>
      <c r="Y111" s="229"/>
    </row>
    <row r="112" spans="1:25" ht="45" customHeight="1" x14ac:dyDescent="0.3">
      <c r="F112" s="189" t="s">
        <v>526</v>
      </c>
      <c r="G112" s="168" t="s">
        <v>618</v>
      </c>
      <c r="H112" s="26">
        <v>28</v>
      </c>
      <c r="I112" s="207" t="s">
        <v>528</v>
      </c>
      <c r="J112" s="20">
        <v>1</v>
      </c>
      <c r="K112" s="52"/>
      <c r="L112" s="50"/>
      <c r="M112" s="23" t="str">
        <f t="shared" si="27"/>
        <v/>
      </c>
      <c r="N112" s="23" t="str">
        <f t="shared" si="26"/>
        <v/>
      </c>
      <c r="O112" s="23"/>
      <c r="P112" s="23"/>
      <c r="Q112" s="112"/>
      <c r="R112" s="4"/>
      <c r="S112" s="227"/>
      <c r="T112" s="4"/>
      <c r="U112" s="228"/>
      <c r="V112" s="229"/>
      <c r="W112" s="229"/>
      <c r="X112" s="229"/>
      <c r="Y112" s="229"/>
    </row>
    <row r="113" spans="2:25" ht="45" customHeight="1" x14ac:dyDescent="0.3">
      <c r="F113" s="208" t="s">
        <v>529</v>
      </c>
      <c r="G113" s="194" t="s">
        <v>619</v>
      </c>
      <c r="H113" s="225">
        <v>29</v>
      </c>
      <c r="I113" s="207" t="s">
        <v>531</v>
      </c>
      <c r="J113" s="213">
        <v>1</v>
      </c>
      <c r="K113" s="63"/>
      <c r="L113" s="50"/>
      <c r="M113" s="23" t="str">
        <f t="shared" si="27"/>
        <v/>
      </c>
      <c r="N113" s="23" t="str">
        <f t="shared" si="26"/>
        <v/>
      </c>
      <c r="O113" s="23"/>
      <c r="P113" s="23"/>
      <c r="Q113" s="112"/>
      <c r="R113" s="4"/>
      <c r="S113" s="227"/>
      <c r="T113" s="4"/>
      <c r="U113" s="228"/>
      <c r="V113" s="229"/>
      <c r="W113" s="229"/>
      <c r="X113" s="229"/>
      <c r="Y113" s="229"/>
    </row>
    <row r="114" spans="2:25" ht="45" customHeight="1" x14ac:dyDescent="0.3">
      <c r="F114" s="195" t="s">
        <v>301</v>
      </c>
      <c r="G114" s="195"/>
      <c r="H114" s="196"/>
      <c r="I114" s="195"/>
      <c r="J114" s="196">
        <f>SUM(J108:J113)</f>
        <v>5</v>
      </c>
      <c r="K114" s="196">
        <f>SUM(K108:K113)</f>
        <v>0</v>
      </c>
      <c r="L114" s="22" t="str">
        <f>IF(K114&gt;J114,"!","")</f>
        <v/>
      </c>
      <c r="M114" s="32">
        <f t="shared" ref="M114:N114" si="28">SUM(M108:M113)</f>
        <v>0</v>
      </c>
      <c r="N114" s="32">
        <f t="shared" si="28"/>
        <v>0</v>
      </c>
      <c r="O114" s="1"/>
      <c r="P114" s="1"/>
      <c r="Q114" s="114"/>
      <c r="R114" s="4"/>
      <c r="S114" s="141"/>
      <c r="T114" s="4"/>
      <c r="U114" s="164"/>
      <c r="V114" s="165"/>
      <c r="W114" s="165"/>
      <c r="X114" s="165"/>
      <c r="Y114" s="165"/>
    </row>
    <row r="115" spans="2:25" ht="45" customHeight="1" x14ac:dyDescent="0.3">
      <c r="F115" s="45"/>
      <c r="G115" s="45"/>
      <c r="H115" s="1"/>
      <c r="I115" s="45"/>
      <c r="J115" s="1"/>
      <c r="K115" s="1"/>
      <c r="L115" s="18"/>
      <c r="M115" s="1"/>
      <c r="N115" s="1"/>
      <c r="O115" s="1"/>
      <c r="P115" s="1"/>
      <c r="Q115" s="114"/>
      <c r="R115" s="4"/>
      <c r="S115" s="141"/>
      <c r="T115" s="4"/>
      <c r="U115" s="164"/>
      <c r="V115" s="165"/>
      <c r="W115" s="165"/>
      <c r="X115" s="165"/>
      <c r="Y115" s="165"/>
    </row>
    <row r="116" spans="2:25" ht="45" customHeight="1" x14ac:dyDescent="0.3">
      <c r="F116" s="520" t="s">
        <v>402</v>
      </c>
      <c r="G116" s="520"/>
      <c r="H116" s="520"/>
      <c r="I116" s="520"/>
      <c r="J116" s="197">
        <v>10</v>
      </c>
      <c r="K116" s="209"/>
      <c r="L116" s="18"/>
      <c r="M116" s="64"/>
      <c r="N116" s="64"/>
      <c r="O116" s="64"/>
      <c r="P116" s="64"/>
      <c r="Q116" s="110"/>
      <c r="R116" s="48"/>
      <c r="S116" s="142"/>
      <c r="T116" s="48"/>
      <c r="U116" s="150"/>
      <c r="V116" s="142"/>
      <c r="W116" s="142"/>
      <c r="X116" s="142"/>
      <c r="Y116" s="142"/>
    </row>
    <row r="117" spans="2:25" ht="45" customHeight="1" x14ac:dyDescent="0.3">
      <c r="F117" s="190" t="s">
        <v>532</v>
      </c>
      <c r="G117" s="210" t="s">
        <v>533</v>
      </c>
      <c r="H117" s="211" t="s">
        <v>534</v>
      </c>
      <c r="I117" s="205" t="s">
        <v>532</v>
      </c>
      <c r="J117" s="523">
        <v>10</v>
      </c>
      <c r="K117" s="61"/>
      <c r="L117" s="50"/>
      <c r="M117" s="23" t="str">
        <f>IF(OR(Q117=$AC$9,Q117=$AC$10),K117,"")</f>
        <v/>
      </c>
      <c r="N117" s="23" t="str">
        <f t="shared" ref="N117:N121" si="29">IF(Q117=$AC$11,K117,"")</f>
        <v/>
      </c>
      <c r="O117" s="23"/>
      <c r="P117" s="23"/>
      <c r="Q117" s="226"/>
      <c r="R117" s="48"/>
      <c r="S117" s="227"/>
      <c r="T117" s="4"/>
      <c r="U117" s="228"/>
      <c r="V117" s="229"/>
      <c r="W117" s="229"/>
      <c r="X117" s="229"/>
      <c r="Y117" s="229"/>
    </row>
    <row r="118" spans="2:25" ht="45" customHeight="1" x14ac:dyDescent="0.3">
      <c r="F118" s="189" t="s">
        <v>339</v>
      </c>
      <c r="G118" s="31" t="s">
        <v>535</v>
      </c>
      <c r="H118" s="20" t="s">
        <v>536</v>
      </c>
      <c r="I118" s="27" t="s">
        <v>339</v>
      </c>
      <c r="J118" s="523"/>
      <c r="K118" s="61"/>
      <c r="L118" s="50"/>
      <c r="M118" s="23" t="str">
        <f t="shared" ref="M118:M121" si="30">IF(OR(Q118=$AC$9,Q118=$AC$10),K118,"")</f>
        <v/>
      </c>
      <c r="N118" s="23" t="str">
        <f t="shared" si="29"/>
        <v/>
      </c>
      <c r="O118" s="23"/>
      <c r="P118" s="23"/>
      <c r="Q118" s="112"/>
      <c r="R118" s="48"/>
      <c r="S118" s="227"/>
      <c r="T118" s="4"/>
      <c r="U118" s="228"/>
      <c r="V118" s="229"/>
      <c r="W118" s="229"/>
      <c r="X118" s="229"/>
      <c r="Y118" s="229"/>
    </row>
    <row r="119" spans="2:25" ht="45" customHeight="1" x14ac:dyDescent="0.3">
      <c r="F119" s="189" t="s">
        <v>537</v>
      </c>
      <c r="G119" s="31" t="s">
        <v>538</v>
      </c>
      <c r="H119" s="20" t="s">
        <v>539</v>
      </c>
      <c r="I119" s="27" t="s">
        <v>537</v>
      </c>
      <c r="J119" s="523"/>
      <c r="K119" s="61"/>
      <c r="L119" s="50"/>
      <c r="M119" s="23" t="str">
        <f t="shared" si="30"/>
        <v/>
      </c>
      <c r="N119" s="23" t="str">
        <f t="shared" si="29"/>
        <v/>
      </c>
      <c r="O119" s="23"/>
      <c r="P119" s="23"/>
      <c r="Q119" s="112"/>
      <c r="R119" s="48"/>
      <c r="S119" s="227"/>
      <c r="T119" s="4"/>
      <c r="U119" s="228"/>
      <c r="V119" s="229"/>
      <c r="W119" s="229"/>
      <c r="X119" s="229"/>
      <c r="Y119" s="229"/>
    </row>
    <row r="120" spans="2:25" ht="45" customHeight="1" x14ac:dyDescent="0.3">
      <c r="F120" s="189" t="s">
        <v>540</v>
      </c>
      <c r="G120" s="31" t="s">
        <v>541</v>
      </c>
      <c r="H120" s="20" t="s">
        <v>542</v>
      </c>
      <c r="I120" s="27" t="s">
        <v>540</v>
      </c>
      <c r="J120" s="523"/>
      <c r="K120" s="61"/>
      <c r="L120" s="50"/>
      <c r="M120" s="23" t="str">
        <f t="shared" si="30"/>
        <v/>
      </c>
      <c r="N120" s="23" t="str">
        <f t="shared" si="29"/>
        <v/>
      </c>
      <c r="O120" s="23"/>
      <c r="P120" s="23"/>
      <c r="Q120" s="112"/>
      <c r="R120" s="48"/>
      <c r="S120" s="227"/>
      <c r="T120" s="4"/>
      <c r="U120" s="228"/>
      <c r="V120" s="229"/>
      <c r="W120" s="229"/>
      <c r="X120" s="229"/>
      <c r="Y120" s="229"/>
    </row>
    <row r="121" spans="2:25" ht="45" customHeight="1" x14ac:dyDescent="0.3">
      <c r="F121" s="192" t="s">
        <v>543</v>
      </c>
      <c r="G121" s="212" t="s">
        <v>544</v>
      </c>
      <c r="H121" s="213" t="s">
        <v>545</v>
      </c>
      <c r="I121" s="214" t="s">
        <v>543</v>
      </c>
      <c r="J121" s="523"/>
      <c r="K121" s="61"/>
      <c r="L121" s="50"/>
      <c r="M121" s="23" t="str">
        <f t="shared" si="30"/>
        <v/>
      </c>
      <c r="N121" s="23" t="str">
        <f t="shared" si="29"/>
        <v/>
      </c>
      <c r="O121" s="23"/>
      <c r="P121" s="23"/>
      <c r="Q121" s="112"/>
      <c r="R121" s="48"/>
      <c r="S121" s="227"/>
      <c r="T121" s="4"/>
      <c r="U121" s="228"/>
      <c r="V121" s="229"/>
      <c r="W121" s="229"/>
      <c r="X121" s="229"/>
      <c r="Y121" s="229"/>
    </row>
    <row r="122" spans="2:25" ht="45" customHeight="1" x14ac:dyDescent="0.3">
      <c r="F122" s="195" t="s">
        <v>301</v>
      </c>
      <c r="G122" s="195"/>
      <c r="H122" s="196"/>
      <c r="I122" s="195"/>
      <c r="J122" s="196">
        <f>SUM(J117)</f>
        <v>10</v>
      </c>
      <c r="K122" s="196">
        <f>IF(SUM(K117:K121)&gt;10,10,SUM(K117:K121))</f>
        <v>0</v>
      </c>
      <c r="L122" s="22" t="str">
        <f>IF(K122&gt;J122,"!","")</f>
        <v/>
      </c>
      <c r="M122" s="32">
        <f t="shared" ref="M122:N122" si="31">SUM(M117:M121)</f>
        <v>0</v>
      </c>
      <c r="N122" s="32">
        <f t="shared" si="31"/>
        <v>0</v>
      </c>
      <c r="U122" s="149"/>
      <c r="V122" s="134"/>
      <c r="W122" s="134"/>
      <c r="X122" s="134"/>
      <c r="Y122" s="134"/>
    </row>
    <row r="123" spans="2:25" ht="45" customHeight="1" x14ac:dyDescent="0.3">
      <c r="F123" s="45"/>
      <c r="G123" s="45"/>
      <c r="H123" s="1"/>
      <c r="I123" s="45"/>
      <c r="J123" s="1"/>
      <c r="K123" s="1"/>
      <c r="L123" s="4"/>
      <c r="M123" s="1"/>
      <c r="N123" s="1"/>
      <c r="O123" s="1"/>
      <c r="P123" s="1"/>
      <c r="U123" s="149"/>
      <c r="V123" s="134"/>
      <c r="W123" s="134"/>
      <c r="X123" s="134"/>
      <c r="Y123" s="134"/>
    </row>
    <row r="124" spans="2:25" ht="45" customHeight="1" x14ac:dyDescent="0.3">
      <c r="B124" s="90" t="s">
        <v>546</v>
      </c>
      <c r="F124" s="72"/>
      <c r="G124" s="72"/>
      <c r="H124" s="33"/>
      <c r="I124" s="69" t="s">
        <v>341</v>
      </c>
      <c r="J124" s="8" t="s">
        <v>342</v>
      </c>
      <c r="K124" s="8" t="s">
        <v>343</v>
      </c>
      <c r="L124" s="82"/>
      <c r="M124" s="8" t="s">
        <v>344</v>
      </c>
      <c r="N124" s="8" t="s">
        <v>345</v>
      </c>
      <c r="S124" s="143"/>
      <c r="T124" s="48"/>
      <c r="U124" s="151"/>
      <c r="V124" s="143"/>
      <c r="W124" s="143"/>
      <c r="X124" s="143"/>
      <c r="Y124" s="143"/>
    </row>
    <row r="125" spans="2:25" ht="45" customHeight="1" x14ac:dyDescent="0.3">
      <c r="B125" s="87">
        <f>SUM(B7:B113)</f>
        <v>0</v>
      </c>
      <c r="F125" s="16"/>
      <c r="G125" s="16"/>
      <c r="H125" s="1"/>
      <c r="I125" s="17" t="s">
        <v>346</v>
      </c>
      <c r="J125" s="75">
        <f>100-B125</f>
        <v>100</v>
      </c>
      <c r="K125" s="76">
        <f>K24+K44+K64+K73+K82+K96+K105+K114</f>
        <v>0</v>
      </c>
      <c r="L125" s="82"/>
      <c r="M125" s="76">
        <f>(M24+M44+M64+M73+M82+M96+M105+M114)/$J$125*100+M122</f>
        <v>0</v>
      </c>
      <c r="N125" s="76">
        <f>(N24+N44+N64+N73+N82+N96+N105+N114)/$J$125*100+N122</f>
        <v>0</v>
      </c>
      <c r="S125" s="144"/>
      <c r="T125" s="4"/>
      <c r="U125" s="152"/>
      <c r="V125" s="144"/>
      <c r="W125" s="144"/>
      <c r="X125" s="144"/>
      <c r="Y125" s="144"/>
    </row>
    <row r="126" spans="2:25" ht="45" customHeight="1" x14ac:dyDescent="0.3">
      <c r="F126" s="16"/>
      <c r="G126" s="16"/>
      <c r="H126" s="83"/>
      <c r="I126" s="17" t="s">
        <v>547</v>
      </c>
      <c r="J126" s="73"/>
      <c r="K126" s="86">
        <f>K125/J125*100</f>
        <v>0</v>
      </c>
      <c r="L126" s="70"/>
      <c r="M126" s="82"/>
      <c r="N126" s="82"/>
      <c r="S126" s="144"/>
      <c r="T126" s="4"/>
      <c r="U126" s="152"/>
      <c r="V126" s="144"/>
      <c r="W126" s="144"/>
      <c r="X126" s="144"/>
      <c r="Y126" s="144"/>
    </row>
    <row r="127" spans="2:25" ht="45" customHeight="1" x14ac:dyDescent="0.3">
      <c r="F127" s="16"/>
      <c r="G127" s="16"/>
      <c r="H127" s="1"/>
      <c r="I127" s="17" t="s">
        <v>548</v>
      </c>
      <c r="J127" s="75">
        <v>10</v>
      </c>
      <c r="K127" s="76">
        <f>K122</f>
        <v>0</v>
      </c>
      <c r="L127" s="71"/>
      <c r="M127" s="82"/>
      <c r="N127" s="82"/>
      <c r="S127" s="144"/>
      <c r="T127" s="4"/>
      <c r="U127" s="152"/>
      <c r="V127" s="144"/>
      <c r="W127" s="144"/>
      <c r="X127" s="144"/>
      <c r="Y127" s="144"/>
    </row>
    <row r="128" spans="2:25" ht="45" customHeight="1" x14ac:dyDescent="0.3">
      <c r="I128" s="17" t="s">
        <v>348</v>
      </c>
      <c r="J128" s="74"/>
      <c r="K128" s="86">
        <f>K126+K127</f>
        <v>0</v>
      </c>
      <c r="M128" s="82"/>
      <c r="N128" s="82"/>
      <c r="U128" s="149"/>
      <c r="V128" s="134"/>
      <c r="W128" s="134"/>
      <c r="X128" s="134"/>
      <c r="Y128" s="134"/>
    </row>
    <row r="129" spans="4:25" x14ac:dyDescent="0.3">
      <c r="U129" s="149"/>
      <c r="V129" s="134"/>
      <c r="W129" s="134"/>
      <c r="X129" s="134"/>
      <c r="Y129" s="134"/>
    </row>
    <row r="130" spans="4:25" x14ac:dyDescent="0.3">
      <c r="U130" s="149"/>
      <c r="V130" s="134"/>
      <c r="W130" s="134"/>
      <c r="X130" s="134"/>
      <c r="Y130" s="134"/>
    </row>
    <row r="131" spans="4:25" x14ac:dyDescent="0.3">
      <c r="U131" s="149"/>
      <c r="V131" s="134"/>
      <c r="W131" s="134"/>
      <c r="X131" s="134"/>
      <c r="Y131" s="134"/>
    </row>
    <row r="132" spans="4:25" x14ac:dyDescent="0.3">
      <c r="U132" s="149"/>
      <c r="V132" s="134"/>
      <c r="W132" s="134"/>
      <c r="X132" s="134"/>
      <c r="Y132" s="134"/>
    </row>
    <row r="133" spans="4:25" ht="38.25" hidden="1" customHeight="1" x14ac:dyDescent="0.3">
      <c r="D133" s="3" t="s">
        <v>47</v>
      </c>
      <c r="O133" s="253" t="s">
        <v>620</v>
      </c>
      <c r="P133" s="254" t="s">
        <v>621</v>
      </c>
      <c r="Q133" s="246" t="s">
        <v>349</v>
      </c>
      <c r="R133" s="254" t="s">
        <v>622</v>
      </c>
      <c r="U133" s="149"/>
      <c r="V133" s="134"/>
      <c r="W133" s="134"/>
      <c r="X133" s="134"/>
      <c r="Y133" s="134"/>
    </row>
    <row r="134" spans="4:25" ht="38.25" hidden="1" customHeight="1" x14ac:dyDescent="0.3">
      <c r="D134" s="3" t="s">
        <v>47</v>
      </c>
      <c r="N134" s="255" t="s">
        <v>288</v>
      </c>
      <c r="O134" s="256"/>
      <c r="P134" s="257">
        <f>COUNTIF(P7:P113,"Core")</f>
        <v>0</v>
      </c>
      <c r="Q134" s="258">
        <f>COUNTIF(Q7:Q113,"Not Awarded - Major Non-compliance")</f>
        <v>0</v>
      </c>
      <c r="R134" s="259"/>
      <c r="U134" s="149"/>
      <c r="V134" s="134"/>
      <c r="W134" s="134"/>
      <c r="X134" s="134"/>
      <c r="Y134" s="134"/>
    </row>
    <row r="135" spans="4:25" ht="38.25" hidden="1" customHeight="1" x14ac:dyDescent="0.3">
      <c r="D135" s="3" t="s">
        <v>47</v>
      </c>
      <c r="N135" s="255" t="s">
        <v>292</v>
      </c>
      <c r="O135" s="257">
        <f>COUNTIF(O7:O113,"Stage 1")</f>
        <v>0</v>
      </c>
      <c r="P135" s="257">
        <f>COUNTIF(P7:P113,"Stage 1")</f>
        <v>0</v>
      </c>
      <c r="Q135" s="258">
        <f>COUNTIF(Q7:Q113,"Not Awarded - Major Non-compliance")</f>
        <v>0</v>
      </c>
      <c r="R135" s="260" t="str">
        <f>IF(Q135&gt;P135*0.5, "Go to Stage 2", "Assessment Complete")</f>
        <v>Assessment Complete</v>
      </c>
      <c r="U135" s="149"/>
      <c r="V135" s="134"/>
      <c r="W135" s="134"/>
      <c r="X135" s="134"/>
      <c r="Y135" s="134"/>
    </row>
    <row r="136" spans="4:25" ht="38.25" hidden="1" customHeight="1" x14ac:dyDescent="0.3">
      <c r="D136" s="3" t="s">
        <v>47</v>
      </c>
      <c r="N136" s="255" t="s">
        <v>295</v>
      </c>
      <c r="O136" s="257">
        <f>COUNTIF(O7:O113,"Stage 2")</f>
        <v>0</v>
      </c>
      <c r="P136" s="257">
        <f>COUNTIF(P7:P113,"Stage 2")</f>
        <v>0</v>
      </c>
      <c r="Q136" s="258">
        <f>COUNTIF(Q7:Q113,"Not Awarded - Major Non-compliance")</f>
        <v>0</v>
      </c>
      <c r="R136" s="260" t="str">
        <f>IF(AND(R135="Go to Stage 2", P136=0),R135,IF(Q136&gt;SUM(P135:P136)*0.5,"Go to Stage 3","Assessment Complete"))</f>
        <v>Assessment Complete</v>
      </c>
      <c r="U136" s="149"/>
      <c r="V136" s="134"/>
      <c r="W136" s="134"/>
      <c r="X136" s="134"/>
      <c r="Y136" s="134"/>
    </row>
    <row r="137" spans="4:25" ht="38.25" hidden="1" customHeight="1" x14ac:dyDescent="0.3">
      <c r="D137" s="3" t="s">
        <v>47</v>
      </c>
      <c r="N137" s="239" t="s">
        <v>350</v>
      </c>
      <c r="O137" s="257">
        <f>COUNTIF(O7:O113,"Stage 3")</f>
        <v>0</v>
      </c>
      <c r="P137" s="257">
        <f>COUNTIF(P7:P113,"Stage 3")</f>
        <v>0</v>
      </c>
      <c r="Q137" s="258">
        <f>COUNTIF(Q7:Q113,"Not Awarded - Major Non-compliance")</f>
        <v>0</v>
      </c>
      <c r="R137" s="261"/>
      <c r="U137" s="149"/>
      <c r="V137" s="134"/>
      <c r="W137" s="134"/>
      <c r="X137" s="134"/>
      <c r="Y137" s="134"/>
    </row>
    <row r="138" spans="4:25" ht="38.25" hidden="1" customHeight="1" x14ac:dyDescent="0.3">
      <c r="D138" s="3" t="s">
        <v>47</v>
      </c>
      <c r="O138" s="132"/>
      <c r="P138" s="133"/>
      <c r="Q138" s="262">
        <f>COUNTIF(Q7:Q113,"Awarded - Compliant")+COUNTIF(Q7:Q113,"Awarded - Minor non-Compliance")+COUNTIF(Q7:Q113,"Not Awarded - Major non-compliance")</f>
        <v>0</v>
      </c>
      <c r="R138" s="260" t="str">
        <f>IF(R135="Assessment Complete",R135,IF(R136="Assessment Complete",R136,IF(P134&gt;=1,R136,"Assessment Complete")))</f>
        <v>Assessment Complete</v>
      </c>
      <c r="U138" s="149"/>
      <c r="V138" s="134"/>
      <c r="W138" s="134"/>
      <c r="X138" s="134"/>
      <c r="Y138" s="134"/>
    </row>
    <row r="139" spans="4:25" x14ac:dyDescent="0.3">
      <c r="O139" s="95"/>
      <c r="P139" s="95"/>
      <c r="Q139" s="107"/>
      <c r="R139" s="38"/>
      <c r="U139" s="149"/>
      <c r="V139" s="134"/>
      <c r="W139" s="134"/>
      <c r="X139" s="134"/>
      <c r="Y139" s="134"/>
    </row>
    <row r="140" spans="4:25" x14ac:dyDescent="0.3">
      <c r="U140" s="149"/>
      <c r="V140" s="134"/>
      <c r="W140" s="134"/>
      <c r="X140" s="134"/>
      <c r="Y140" s="134"/>
    </row>
    <row r="141" spans="4:25" x14ac:dyDescent="0.3">
      <c r="U141" s="149"/>
      <c r="V141" s="134"/>
      <c r="W141" s="134"/>
      <c r="X141" s="134"/>
      <c r="Y141" s="134"/>
    </row>
    <row r="142" spans="4:25" x14ac:dyDescent="0.3">
      <c r="U142" s="149"/>
      <c r="V142" s="134"/>
      <c r="W142" s="134"/>
      <c r="X142" s="134"/>
      <c r="Y142" s="134"/>
    </row>
    <row r="143" spans="4:25" x14ac:dyDescent="0.3">
      <c r="U143" s="149"/>
      <c r="V143" s="134"/>
      <c r="W143" s="134"/>
      <c r="X143" s="134"/>
      <c r="Y143" s="134"/>
    </row>
    <row r="144" spans="4:25" x14ac:dyDescent="0.3">
      <c r="U144" s="149"/>
      <c r="V144" s="134"/>
      <c r="W144" s="134"/>
      <c r="X144" s="134"/>
      <c r="Y144" s="134"/>
    </row>
  </sheetData>
  <mergeCells count="58">
    <mergeCell ref="F8:F12"/>
    <mergeCell ref="G8:G12"/>
    <mergeCell ref="F1:I1"/>
    <mergeCell ref="U1:W1"/>
    <mergeCell ref="G2:H2"/>
    <mergeCell ref="U2:W3"/>
    <mergeCell ref="G3:H3"/>
    <mergeCell ref="F30:F32"/>
    <mergeCell ref="G30:G32"/>
    <mergeCell ref="F15:F16"/>
    <mergeCell ref="G15:G16"/>
    <mergeCell ref="F17:F18"/>
    <mergeCell ref="G17:G18"/>
    <mergeCell ref="F19:F21"/>
    <mergeCell ref="G19:G21"/>
    <mergeCell ref="F22:F23"/>
    <mergeCell ref="G22:G23"/>
    <mergeCell ref="F26:I26"/>
    <mergeCell ref="F27:F29"/>
    <mergeCell ref="G27:G29"/>
    <mergeCell ref="L47:L53"/>
    <mergeCell ref="F33:F36"/>
    <mergeCell ref="G33:G36"/>
    <mergeCell ref="F37:F39"/>
    <mergeCell ref="G37:G39"/>
    <mergeCell ref="F40:F41"/>
    <mergeCell ref="G40:G41"/>
    <mergeCell ref="F42:F43"/>
    <mergeCell ref="G42:G43"/>
    <mergeCell ref="F46:I46"/>
    <mergeCell ref="F47:F61"/>
    <mergeCell ref="G47:G61"/>
    <mergeCell ref="F62:F63"/>
    <mergeCell ref="G62:G63"/>
    <mergeCell ref="F67:F72"/>
    <mergeCell ref="G67:G72"/>
    <mergeCell ref="F76:F81"/>
    <mergeCell ref="G76:G81"/>
    <mergeCell ref="L87:L89"/>
    <mergeCell ref="F90:F92"/>
    <mergeCell ref="G90:G92"/>
    <mergeCell ref="F98:I98"/>
    <mergeCell ref="M98:N98"/>
    <mergeCell ref="F94:F95"/>
    <mergeCell ref="G94:G95"/>
    <mergeCell ref="F85:F89"/>
    <mergeCell ref="G85:G89"/>
    <mergeCell ref="F99:F100"/>
    <mergeCell ref="G99:G100"/>
    <mergeCell ref="F101:F103"/>
    <mergeCell ref="G101:G103"/>
    <mergeCell ref="J117:J121"/>
    <mergeCell ref="F107:I107"/>
    <mergeCell ref="F108:F109"/>
    <mergeCell ref="G108:G109"/>
    <mergeCell ref="F110:F111"/>
    <mergeCell ref="G110:G111"/>
    <mergeCell ref="F116:I116"/>
  </mergeCells>
  <conditionalFormatting sqref="G64">
    <cfRule type="expression" dxfId="50" priority="51">
      <formula>$J$63=0</formula>
    </cfRule>
  </conditionalFormatting>
  <conditionalFormatting sqref="H25:J25">
    <cfRule type="expression" dxfId="49" priority="52">
      <formula>#REF!=0</formula>
    </cfRule>
  </conditionalFormatting>
  <conditionalFormatting sqref="H28:J32">
    <cfRule type="expression" dxfId="48" priority="22">
      <formula>$C28=TRUE</formula>
    </cfRule>
  </conditionalFormatting>
  <conditionalFormatting sqref="H34:J36">
    <cfRule type="expression" dxfId="47" priority="21">
      <formula>$C34=TRUE</formula>
    </cfRule>
  </conditionalFormatting>
  <conditionalFormatting sqref="H38:J43">
    <cfRule type="expression" dxfId="46" priority="20">
      <formula>$C38=TRUE</formula>
    </cfRule>
  </conditionalFormatting>
  <conditionalFormatting sqref="H67:J67">
    <cfRule type="expression" dxfId="45" priority="49">
      <formula>$G$67=$AA$67</formula>
    </cfRule>
  </conditionalFormatting>
  <conditionalFormatting sqref="H68:J72">
    <cfRule type="expression" dxfId="44" priority="47">
      <formula>$G$67=$AA$68</formula>
    </cfRule>
  </conditionalFormatting>
  <conditionalFormatting sqref="H76:J76">
    <cfRule type="expression" dxfId="43" priority="45">
      <formula>$G$76=$AA$76</formula>
    </cfRule>
  </conditionalFormatting>
  <conditionalFormatting sqref="H77:J81">
    <cfRule type="expression" dxfId="42" priority="44">
      <formula>$G$76=$AA$77</formula>
    </cfRule>
  </conditionalFormatting>
  <conditionalFormatting sqref="H22:K22">
    <cfRule type="expression" dxfId="41" priority="10">
      <formula>$G$22=$AA$9</formula>
    </cfRule>
  </conditionalFormatting>
  <conditionalFormatting sqref="H23:K23">
    <cfRule type="expression" dxfId="40" priority="9">
      <formula>$G$22=$AA$8</formula>
    </cfRule>
  </conditionalFormatting>
  <conditionalFormatting sqref="H27:K27 K28:K43">
    <cfRule type="expression" dxfId="39" priority="24">
      <formula>$C27=TRUE</formula>
    </cfRule>
  </conditionalFormatting>
  <conditionalFormatting sqref="H47:K53">
    <cfRule type="expression" dxfId="38" priority="27">
      <formula>$G$47&lt;&gt;$AA$47</formula>
    </cfRule>
  </conditionalFormatting>
  <conditionalFormatting sqref="H54:K55">
    <cfRule type="expression" dxfId="37" priority="26">
      <formula>$G$47&lt;&gt;$AA$48</formula>
    </cfRule>
  </conditionalFormatting>
  <conditionalFormatting sqref="H56:K57">
    <cfRule type="expression" dxfId="36" priority="25">
      <formula>$G$47&lt;&gt;$AA$49</formula>
    </cfRule>
  </conditionalFormatting>
  <conditionalFormatting sqref="H58:K59">
    <cfRule type="expression" dxfId="35" priority="7">
      <formula>$G$47&lt;&gt;$AA$50</formula>
    </cfRule>
  </conditionalFormatting>
  <conditionalFormatting sqref="H60:K61">
    <cfRule type="expression" dxfId="34" priority="8">
      <formula>$G$47&lt;&gt;$AA$51</formula>
    </cfRule>
  </conditionalFormatting>
  <conditionalFormatting sqref="H62:K62">
    <cfRule type="expression" dxfId="33" priority="6">
      <formula>$G$62=$AA$63</formula>
    </cfRule>
  </conditionalFormatting>
  <conditionalFormatting sqref="H63:K63">
    <cfRule type="expression" dxfId="32" priority="5">
      <formula>$G$62=$AA$62</formula>
    </cfRule>
  </conditionalFormatting>
  <conditionalFormatting sqref="H69:K69">
    <cfRule type="expression" dxfId="31" priority="19">
      <formula>$C$69=TRUE</formula>
    </cfRule>
  </conditionalFormatting>
  <conditionalFormatting sqref="H70:K70">
    <cfRule type="expression" dxfId="30" priority="18">
      <formula>$C$70=TRUE</formula>
    </cfRule>
  </conditionalFormatting>
  <conditionalFormatting sqref="H80:K80">
    <cfRule type="expression" dxfId="29" priority="17">
      <formula>$C$80=TRUE</formula>
    </cfRule>
  </conditionalFormatting>
  <conditionalFormatting sqref="H81:K81">
    <cfRule type="expression" dxfId="28" priority="16">
      <formula>$C$81=TRUE</formula>
    </cfRule>
  </conditionalFormatting>
  <conditionalFormatting sqref="H85:K86">
    <cfRule type="expression" dxfId="27" priority="29">
      <formula>$G$85=$AA$86</formula>
    </cfRule>
  </conditionalFormatting>
  <conditionalFormatting sqref="H87:K89">
    <cfRule type="expression" dxfId="26" priority="28">
      <formula>$G$85=$AA$85</formula>
    </cfRule>
  </conditionalFormatting>
  <conditionalFormatting sqref="H89:K89">
    <cfRule type="expression" dxfId="25" priority="14">
      <formula>$C$89=TRUE</formula>
    </cfRule>
  </conditionalFormatting>
  <conditionalFormatting sqref="H90:K90">
    <cfRule type="expression" dxfId="24" priority="13">
      <formula>$C$90=TRUE</formula>
    </cfRule>
  </conditionalFormatting>
  <conditionalFormatting sqref="H91:K91">
    <cfRule type="expression" dxfId="23" priority="12">
      <formula>$C$91=TRUE</formula>
    </cfRule>
  </conditionalFormatting>
  <conditionalFormatting sqref="H92:K92">
    <cfRule type="expression" dxfId="22" priority="11">
      <formula>$C$92=TRUE</formula>
    </cfRule>
  </conditionalFormatting>
  <conditionalFormatting sqref="H94:K94">
    <cfRule type="expression" dxfId="21" priority="4">
      <formula>$G$94=$AA$95</formula>
    </cfRule>
  </conditionalFormatting>
  <conditionalFormatting sqref="H95:K95">
    <cfRule type="expression" dxfId="20" priority="3">
      <formula>$G$94=$AA$94</formula>
    </cfRule>
  </conditionalFormatting>
  <conditionalFormatting sqref="H103:K103">
    <cfRule type="expression" dxfId="19" priority="15">
      <formula>$C$103=TRUE</formula>
    </cfRule>
  </conditionalFormatting>
  <conditionalFormatting sqref="K20:K21">
    <cfRule type="expression" dxfId="18" priority="50">
      <formula>$G$19=$I$20</formula>
    </cfRule>
  </conditionalFormatting>
  <conditionalFormatting sqref="K67">
    <cfRule type="expression" dxfId="17" priority="48">
      <formula>$G$67=$AA$67</formula>
    </cfRule>
  </conditionalFormatting>
  <conditionalFormatting sqref="K68:K72">
    <cfRule type="expression" dxfId="16" priority="46">
      <formula>$G$67=$AA$68</formula>
    </cfRule>
  </conditionalFormatting>
  <conditionalFormatting sqref="K76">
    <cfRule type="expression" dxfId="15" priority="33">
      <formula>$G$76=$AA$76</formula>
    </cfRule>
  </conditionalFormatting>
  <conditionalFormatting sqref="K77:K81">
    <cfRule type="expression" dxfId="14" priority="34">
      <formula>$G$76=$AA$77</formula>
    </cfRule>
  </conditionalFormatting>
  <conditionalFormatting sqref="K108:K109">
    <cfRule type="expression" dxfId="13" priority="32">
      <formula>$G$84=$AA$85</formula>
    </cfRule>
  </conditionalFormatting>
  <conditionalFormatting sqref="K110">
    <cfRule type="expression" dxfId="12" priority="35">
      <formula>$G$47=$AA$50</formula>
    </cfRule>
  </conditionalFormatting>
  <conditionalFormatting sqref="K111:K113">
    <cfRule type="expression" dxfId="11" priority="31">
      <formula>$G$84=$AA$85</formula>
    </cfRule>
  </conditionalFormatting>
  <conditionalFormatting sqref="K117:K121">
    <cfRule type="expression" dxfId="10" priority="30">
      <formula>$G$84=$AA$85</formula>
    </cfRule>
  </conditionalFormatting>
  <conditionalFormatting sqref="S7:S23">
    <cfRule type="expression" dxfId="9" priority="42">
      <formula>Q7=$AC$11</formula>
    </cfRule>
  </conditionalFormatting>
  <conditionalFormatting sqref="S27:S43">
    <cfRule type="expression" dxfId="8" priority="41">
      <formula>Q27=$AC$11</formula>
    </cfRule>
  </conditionalFormatting>
  <conditionalFormatting sqref="S47:S63 S85:S95">
    <cfRule type="expression" dxfId="7" priority="43">
      <formula>Q47=$AC$11</formula>
    </cfRule>
  </conditionalFormatting>
  <conditionalFormatting sqref="S67:S72">
    <cfRule type="expression" dxfId="6" priority="40">
      <formula>Q67=$AC$11</formula>
    </cfRule>
  </conditionalFormatting>
  <conditionalFormatting sqref="S76:S81">
    <cfRule type="expression" dxfId="5" priority="39">
      <formula>Q76=$AC$11</formula>
    </cfRule>
  </conditionalFormatting>
  <conditionalFormatting sqref="S99:S104">
    <cfRule type="expression" dxfId="4" priority="38">
      <formula>Q99=$AC$11</formula>
    </cfRule>
  </conditionalFormatting>
  <conditionalFormatting sqref="S108:S113">
    <cfRule type="expression" dxfId="3" priority="37">
      <formula>Q108=$AC$11</formula>
    </cfRule>
  </conditionalFormatting>
  <conditionalFormatting sqref="S117:S121">
    <cfRule type="expression" dxfId="2" priority="36">
      <formula>Q117=$AC$11</formula>
    </cfRule>
  </conditionalFormatting>
  <conditionalFormatting sqref="U7:Y121">
    <cfRule type="expression" dxfId="1" priority="1">
      <formula>$Q7=$AC$11</formula>
    </cfRule>
    <cfRule type="expression" dxfId="0" priority="2">
      <formula>$Q7=$AC$11</formula>
    </cfRule>
  </conditionalFormatting>
  <dataValidations count="21">
    <dataValidation type="list" allowBlank="1" showInputMessage="1" showErrorMessage="1" promptTitle="Selection Required" prompt="Please indicate the project's desired pathway." sqref="G94:G95" xr:uid="{00000000-0002-0000-0500-000000000000}">
      <formula1>$AA$94:$AA$95</formula1>
    </dataValidation>
    <dataValidation type="decimal" operator="lessThanOrEqual" allowBlank="1" showInputMessage="1" showErrorMessage="1" sqref="K22:K23" xr:uid="{00000000-0002-0000-0500-000001000000}">
      <formula1>1</formula1>
    </dataValidation>
    <dataValidation type="list" allowBlank="1" showInputMessage="1" showErrorMessage="1" sqref="G65" xr:uid="{00000000-0002-0000-0500-000002000000}">
      <formula1>$AA$62:$AA$62</formula1>
    </dataValidation>
    <dataValidation type="list" allowBlank="1" showInputMessage="1" showErrorMessage="1" promptTitle="Selection Required" prompt="Please indicate the project's desired pathway." sqref="G62:G63" xr:uid="{00000000-0002-0000-0500-000003000000}">
      <formula1>$AA$62:$AA$63</formula1>
    </dataValidation>
    <dataValidation type="list" allowBlank="1" showInputMessage="1" showErrorMessage="1" promptTitle="Selection Required" prompt="Please indicate the project's desired pathway." sqref="G22:G23" xr:uid="{00000000-0002-0000-0500-000004000000}">
      <formula1>$AA$8:$AA$9</formula1>
    </dataValidation>
    <dataValidation type="list" allowBlank="1" showInputMessage="1" showErrorMessage="1" sqref="O108:O113 O99:O104 O85:O95 O76:O81 O67:O72 O27:O43 O7:O23 O47:O63" xr:uid="{00000000-0002-0000-0500-000005000000}">
      <formula1>$AB$10:$AB$12</formula1>
    </dataValidation>
    <dataValidation type="list" allowBlank="1" showInputMessage="1" showErrorMessage="1" sqref="O117:P121" xr:uid="{00000000-0002-0000-0500-000006000000}">
      <formula1>$AB$10</formula1>
    </dataValidation>
    <dataValidation type="list" allowBlank="1" showInputMessage="1" showErrorMessage="1" sqref="P99:P104 P85:P95 P76:P81 P67:P72 P27:P43 P108:P113 P7:P23 P47:P63" xr:uid="{00000000-0002-0000-0500-000007000000}">
      <formula1>$AB$9:$AB$12</formula1>
    </dataValidation>
    <dataValidation type="decimal" operator="lessThanOrEqual" allowBlank="1" showInputMessage="1" showErrorMessage="1" sqref="K117:K121" xr:uid="{00000000-0002-0000-0500-000008000000}">
      <formula1>10</formula1>
    </dataValidation>
    <dataValidation type="list" allowBlank="1" showInputMessage="1" showErrorMessage="1" promptTitle="Selection Required" prompt="Please indicate the project's desired pathway." sqref="G85:G89" xr:uid="{00000000-0002-0000-0500-000009000000}">
      <formula1>$AA$85:$AA$86</formula1>
    </dataValidation>
    <dataValidation type="list" allowBlank="1" showInputMessage="1" showErrorMessage="1" sqref="Q117:Q121 Q108:Q113 Q99:Q104 Q85:Q95 Q76:Q81 Q67:Q72 Q27:Q43 Q7:Q23 Q47:Q63" xr:uid="{00000000-0002-0000-0500-00000A000000}">
      <formula1>$AC$9:$AC$11</formula1>
    </dataValidation>
    <dataValidation type="list" allowBlank="1" showInputMessage="1" showErrorMessage="1" sqref="K56 K60 K54 K58 K99 K110 K47 K8 K101 K19 K17" xr:uid="{00000000-0002-0000-0500-00000B000000}">
      <formula1>$AD$7:$AD$9</formula1>
    </dataValidation>
    <dataValidation type="list" allowBlank="1" showInputMessage="1" showErrorMessage="1" sqref="G83" xr:uid="{00000000-0002-0000-0500-00000C000000}">
      <formula1>$T$76:$T$77</formula1>
    </dataValidation>
    <dataValidation type="list" allowBlank="1" showInputMessage="1" showErrorMessage="1" sqref="G25" xr:uid="{00000000-0002-0000-0500-00000D000000}">
      <formula1>$T$23:$T$23</formula1>
    </dataValidation>
    <dataValidation type="decimal" allowBlank="1" showInputMessage="1" showErrorMessage="1" sqref="K18 K7 K20:K21 K9:K16" xr:uid="{00000000-0002-0000-0500-00000E000000}">
      <formula1>0</formula1>
      <formula2>J7</formula2>
    </dataValidation>
    <dataValidation type="list" allowBlank="1" showInputMessage="1" showErrorMessage="1" sqref="G74" xr:uid="{00000000-0002-0000-0500-00000F000000}">
      <formula1>$AA$67:$AA$68</formula1>
    </dataValidation>
    <dataValidation type="list" allowBlank="1" showInputMessage="1" showErrorMessage="1" promptTitle="Selection Required" prompt="Please indicate the project's desired pathway." sqref="G67:G72" xr:uid="{00000000-0002-0000-0500-000010000000}">
      <formula1>$AA$67:$AA$68</formula1>
    </dataValidation>
    <dataValidation type="list" allowBlank="1" showInputMessage="1" showErrorMessage="1" promptTitle="Selection Required" prompt="Please indicate the project's desired pathway." sqref="G76:G81" xr:uid="{00000000-0002-0000-0500-000011000000}">
      <formula1>$AA$76:$AA$77</formula1>
    </dataValidation>
    <dataValidation type="decimal" operator="lessThanOrEqual" allowBlank="1" showInputMessage="1" showErrorMessage="1" sqref="K111:K113 K122 K102:K104 K61:K63 K38:K43 K67:K72 K76:K81 K108:K109 K100 K27:K32 K34:K36 K85:K95 K55 K57 K59 K48:K53" xr:uid="{00000000-0002-0000-0500-000012000000}">
      <formula1>J27</formula1>
    </dataValidation>
    <dataValidation type="list" operator="lessThanOrEqual" allowBlank="1" showInputMessage="1" showErrorMessage="1" sqref="K33 K37" xr:uid="{00000000-0002-0000-0500-000013000000}">
      <formula1>$AD$7:$AD$9</formula1>
    </dataValidation>
    <dataValidation type="list" allowBlank="1" showInputMessage="1" showErrorMessage="1" promptTitle="Selection Required" prompt="Please indicate the project's desired pathway." sqref="G47:G61" xr:uid="{00000000-0002-0000-0500-000014000000}">
      <formula1>$AA$47:$AA$51</formula1>
    </dataValidation>
  </dataValidations>
  <pageMargins left="0.70866141732283472" right="0.70866141732283472" top="0.74803149606299213" bottom="0.74803149606299213" header="0.31496062992125984" footer="0.31496062992125984"/>
  <pageSetup paperSize="9" scale="55" orientation="portrait" horizontalDpi="1200" verticalDpi="1200" r:id="rId1"/>
  <headerFooter>
    <oddHeader>&amp;L&amp;"Calibri"&amp;8&amp;K000000 Sensitivity: General&amp;1#_x000D_</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4</xdr:col>
                    <xdr:colOff>38100</xdr:colOff>
                    <xdr:row>27</xdr:row>
                    <xdr:rowOff>177800</xdr:rowOff>
                  </from>
                  <to>
                    <xdr:col>5</xdr:col>
                    <xdr:colOff>565150</xdr:colOff>
                    <xdr:row>27</xdr:row>
                    <xdr:rowOff>381000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4</xdr:col>
                    <xdr:colOff>38100</xdr:colOff>
                    <xdr:row>26</xdr:row>
                    <xdr:rowOff>184150</xdr:rowOff>
                  </from>
                  <to>
                    <xdr:col>5</xdr:col>
                    <xdr:colOff>565150</xdr:colOff>
                    <xdr:row>26</xdr:row>
                    <xdr:rowOff>406400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4</xdr:col>
                    <xdr:colOff>38100</xdr:colOff>
                    <xdr:row>28</xdr:row>
                    <xdr:rowOff>177800</xdr:rowOff>
                  </from>
                  <to>
                    <xdr:col>5</xdr:col>
                    <xdr:colOff>565150</xdr:colOff>
                    <xdr:row>28</xdr:row>
                    <xdr:rowOff>381000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4</xdr:col>
                    <xdr:colOff>38100</xdr:colOff>
                    <xdr:row>29</xdr:row>
                    <xdr:rowOff>177800</xdr:rowOff>
                  </from>
                  <to>
                    <xdr:col>5</xdr:col>
                    <xdr:colOff>565150</xdr:colOff>
                    <xdr:row>29</xdr:row>
                    <xdr:rowOff>381000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4</xdr:col>
                    <xdr:colOff>38100</xdr:colOff>
                    <xdr:row>30</xdr:row>
                    <xdr:rowOff>177800</xdr:rowOff>
                  </from>
                  <to>
                    <xdr:col>5</xdr:col>
                    <xdr:colOff>565150</xdr:colOff>
                    <xdr:row>30</xdr:row>
                    <xdr:rowOff>381000</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4</xdr:col>
                    <xdr:colOff>38100</xdr:colOff>
                    <xdr:row>31</xdr:row>
                    <xdr:rowOff>177800</xdr:rowOff>
                  </from>
                  <to>
                    <xdr:col>5</xdr:col>
                    <xdr:colOff>565150</xdr:colOff>
                    <xdr:row>31</xdr:row>
                    <xdr:rowOff>381000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4</xdr:col>
                    <xdr:colOff>38100</xdr:colOff>
                    <xdr:row>33</xdr:row>
                    <xdr:rowOff>177800</xdr:rowOff>
                  </from>
                  <to>
                    <xdr:col>5</xdr:col>
                    <xdr:colOff>565150</xdr:colOff>
                    <xdr:row>33</xdr:row>
                    <xdr:rowOff>381000</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4</xdr:col>
                    <xdr:colOff>38100</xdr:colOff>
                    <xdr:row>34</xdr:row>
                    <xdr:rowOff>177800</xdr:rowOff>
                  </from>
                  <to>
                    <xdr:col>5</xdr:col>
                    <xdr:colOff>565150</xdr:colOff>
                    <xdr:row>34</xdr:row>
                    <xdr:rowOff>381000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4</xdr:col>
                    <xdr:colOff>38100</xdr:colOff>
                    <xdr:row>35</xdr:row>
                    <xdr:rowOff>177800</xdr:rowOff>
                  </from>
                  <to>
                    <xdr:col>5</xdr:col>
                    <xdr:colOff>565150</xdr:colOff>
                    <xdr:row>35</xdr:row>
                    <xdr:rowOff>381000</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4</xdr:col>
                    <xdr:colOff>38100</xdr:colOff>
                    <xdr:row>37</xdr:row>
                    <xdr:rowOff>177800</xdr:rowOff>
                  </from>
                  <to>
                    <xdr:col>5</xdr:col>
                    <xdr:colOff>565150</xdr:colOff>
                    <xdr:row>37</xdr:row>
                    <xdr:rowOff>381000</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4</xdr:col>
                    <xdr:colOff>38100</xdr:colOff>
                    <xdr:row>38</xdr:row>
                    <xdr:rowOff>177800</xdr:rowOff>
                  </from>
                  <to>
                    <xdr:col>5</xdr:col>
                    <xdr:colOff>565150</xdr:colOff>
                    <xdr:row>38</xdr:row>
                    <xdr:rowOff>381000</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4</xdr:col>
                    <xdr:colOff>38100</xdr:colOff>
                    <xdr:row>39</xdr:row>
                    <xdr:rowOff>177800</xdr:rowOff>
                  </from>
                  <to>
                    <xdr:col>5</xdr:col>
                    <xdr:colOff>565150</xdr:colOff>
                    <xdr:row>39</xdr:row>
                    <xdr:rowOff>381000</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4</xdr:col>
                    <xdr:colOff>38100</xdr:colOff>
                    <xdr:row>40</xdr:row>
                    <xdr:rowOff>177800</xdr:rowOff>
                  </from>
                  <to>
                    <xdr:col>5</xdr:col>
                    <xdr:colOff>565150</xdr:colOff>
                    <xdr:row>40</xdr:row>
                    <xdr:rowOff>381000</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4</xdr:col>
                    <xdr:colOff>38100</xdr:colOff>
                    <xdr:row>41</xdr:row>
                    <xdr:rowOff>177800</xdr:rowOff>
                  </from>
                  <to>
                    <xdr:col>5</xdr:col>
                    <xdr:colOff>565150</xdr:colOff>
                    <xdr:row>41</xdr:row>
                    <xdr:rowOff>381000</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4</xdr:col>
                    <xdr:colOff>38100</xdr:colOff>
                    <xdr:row>42</xdr:row>
                    <xdr:rowOff>177800</xdr:rowOff>
                  </from>
                  <to>
                    <xdr:col>5</xdr:col>
                    <xdr:colOff>565150</xdr:colOff>
                    <xdr:row>42</xdr:row>
                    <xdr:rowOff>381000</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4</xdr:col>
                    <xdr:colOff>38100</xdr:colOff>
                    <xdr:row>68</xdr:row>
                    <xdr:rowOff>177800</xdr:rowOff>
                  </from>
                  <to>
                    <xdr:col>5</xdr:col>
                    <xdr:colOff>565150</xdr:colOff>
                    <xdr:row>68</xdr:row>
                    <xdr:rowOff>381000</xdr:rowOff>
                  </to>
                </anchor>
              </controlPr>
            </control>
          </mc:Choice>
        </mc:AlternateContent>
        <mc:AlternateContent xmlns:mc="http://schemas.openxmlformats.org/markup-compatibility/2006">
          <mc:Choice Requires="x14">
            <control shapeId="22545" r:id="rId20" name="Check Box 17">
              <controlPr defaultSize="0" autoFill="0" autoLine="0" autoPict="0">
                <anchor moveWithCells="1">
                  <from>
                    <xdr:col>4</xdr:col>
                    <xdr:colOff>38100</xdr:colOff>
                    <xdr:row>69</xdr:row>
                    <xdr:rowOff>177800</xdr:rowOff>
                  </from>
                  <to>
                    <xdr:col>5</xdr:col>
                    <xdr:colOff>565150</xdr:colOff>
                    <xdr:row>69</xdr:row>
                    <xdr:rowOff>381000</xdr:rowOff>
                  </to>
                </anchor>
              </controlPr>
            </control>
          </mc:Choice>
        </mc:AlternateContent>
        <mc:AlternateContent xmlns:mc="http://schemas.openxmlformats.org/markup-compatibility/2006">
          <mc:Choice Requires="x14">
            <control shapeId="22546" r:id="rId21" name="Check Box 18">
              <controlPr defaultSize="0" autoFill="0" autoLine="0" autoPict="0">
                <anchor moveWithCells="1">
                  <from>
                    <xdr:col>4</xdr:col>
                    <xdr:colOff>38100</xdr:colOff>
                    <xdr:row>79</xdr:row>
                    <xdr:rowOff>177800</xdr:rowOff>
                  </from>
                  <to>
                    <xdr:col>5</xdr:col>
                    <xdr:colOff>565150</xdr:colOff>
                    <xdr:row>79</xdr:row>
                    <xdr:rowOff>381000</xdr:rowOff>
                  </to>
                </anchor>
              </controlPr>
            </control>
          </mc:Choice>
        </mc:AlternateContent>
        <mc:AlternateContent xmlns:mc="http://schemas.openxmlformats.org/markup-compatibility/2006">
          <mc:Choice Requires="x14">
            <control shapeId="22547" r:id="rId22" name="Check Box 19">
              <controlPr defaultSize="0" autoFill="0" autoLine="0" autoPict="0">
                <anchor moveWithCells="1">
                  <from>
                    <xdr:col>4</xdr:col>
                    <xdr:colOff>38100</xdr:colOff>
                    <xdr:row>80</xdr:row>
                    <xdr:rowOff>177800</xdr:rowOff>
                  </from>
                  <to>
                    <xdr:col>5</xdr:col>
                    <xdr:colOff>565150</xdr:colOff>
                    <xdr:row>80</xdr:row>
                    <xdr:rowOff>381000</xdr:rowOff>
                  </to>
                </anchor>
              </controlPr>
            </control>
          </mc:Choice>
        </mc:AlternateContent>
        <mc:AlternateContent xmlns:mc="http://schemas.openxmlformats.org/markup-compatibility/2006">
          <mc:Choice Requires="x14">
            <control shapeId="22548" r:id="rId23" name="Check Box 20">
              <controlPr defaultSize="0" autoFill="0" autoLine="0" autoPict="0">
                <anchor moveWithCells="1">
                  <from>
                    <xdr:col>4</xdr:col>
                    <xdr:colOff>38100</xdr:colOff>
                    <xdr:row>102</xdr:row>
                    <xdr:rowOff>177800</xdr:rowOff>
                  </from>
                  <to>
                    <xdr:col>5</xdr:col>
                    <xdr:colOff>565150</xdr:colOff>
                    <xdr:row>102</xdr:row>
                    <xdr:rowOff>381000</xdr:rowOff>
                  </to>
                </anchor>
              </controlPr>
            </control>
          </mc:Choice>
        </mc:AlternateContent>
        <mc:AlternateContent xmlns:mc="http://schemas.openxmlformats.org/markup-compatibility/2006">
          <mc:Choice Requires="x14">
            <control shapeId="22549" r:id="rId24" name="Check Box 21">
              <controlPr defaultSize="0" autoFill="0" autoLine="0" autoPict="0">
                <anchor moveWithCells="1">
                  <from>
                    <xdr:col>4</xdr:col>
                    <xdr:colOff>38100</xdr:colOff>
                    <xdr:row>89</xdr:row>
                    <xdr:rowOff>177800</xdr:rowOff>
                  </from>
                  <to>
                    <xdr:col>5</xdr:col>
                    <xdr:colOff>565150</xdr:colOff>
                    <xdr:row>89</xdr:row>
                    <xdr:rowOff>381000</xdr:rowOff>
                  </to>
                </anchor>
              </controlPr>
            </control>
          </mc:Choice>
        </mc:AlternateContent>
        <mc:AlternateContent xmlns:mc="http://schemas.openxmlformats.org/markup-compatibility/2006">
          <mc:Choice Requires="x14">
            <control shapeId="22550" r:id="rId25" name="Check Box 22">
              <controlPr defaultSize="0" autoFill="0" autoLine="0" autoPict="0">
                <anchor moveWithCells="1">
                  <from>
                    <xdr:col>4</xdr:col>
                    <xdr:colOff>38100</xdr:colOff>
                    <xdr:row>90</xdr:row>
                    <xdr:rowOff>177800</xdr:rowOff>
                  </from>
                  <to>
                    <xdr:col>5</xdr:col>
                    <xdr:colOff>565150</xdr:colOff>
                    <xdr:row>90</xdr:row>
                    <xdr:rowOff>381000</xdr:rowOff>
                  </to>
                </anchor>
              </controlPr>
            </control>
          </mc:Choice>
        </mc:AlternateContent>
        <mc:AlternateContent xmlns:mc="http://schemas.openxmlformats.org/markup-compatibility/2006">
          <mc:Choice Requires="x14">
            <control shapeId="22551" r:id="rId26" name="Check Box 23">
              <controlPr defaultSize="0" autoFill="0" autoLine="0" autoPict="0">
                <anchor moveWithCells="1">
                  <from>
                    <xdr:col>4</xdr:col>
                    <xdr:colOff>38100</xdr:colOff>
                    <xdr:row>91</xdr:row>
                    <xdr:rowOff>177800</xdr:rowOff>
                  </from>
                  <to>
                    <xdr:col>5</xdr:col>
                    <xdr:colOff>565150</xdr:colOff>
                    <xdr:row>91</xdr:row>
                    <xdr:rowOff>381000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DAF9C69B323F4180810D5ED78560CB" ma:contentTypeVersion="16" ma:contentTypeDescription="Create a new document." ma:contentTypeScope="" ma:versionID="a3946ef49a480bac0f2f95a57bf0093f">
  <xsd:schema xmlns:xsd="http://www.w3.org/2001/XMLSchema" xmlns:xs="http://www.w3.org/2001/XMLSchema" xmlns:p="http://schemas.microsoft.com/office/2006/metadata/properties" xmlns:ns2="5bf16529-ff4c-4533-adec-a35f4e4ba1df" xmlns:ns3="52985c86-f8c2-4ffb-9ed4-056f10e7bf99" targetNamespace="http://schemas.microsoft.com/office/2006/metadata/properties" ma:root="true" ma:fieldsID="d1dd6f0f82bf22087270841f53d2fcc7" ns2:_="" ns3:_="">
    <xsd:import namespace="5bf16529-ff4c-4533-adec-a35f4e4ba1df"/>
    <xsd:import namespace="52985c86-f8c2-4ffb-9ed4-056f10e7bf9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f16529-ff4c-4533-adec-a35f4e4ba1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f39ea20-3bab-4327-8f6b-3db4142d071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985c86-f8c2-4ffb-9ed4-056f10e7bf9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cf71b23a-5fce-4da9-9150-57ae8890a66e}" ma:internalName="TaxCatchAll" ma:showField="CatchAllData" ma:web="52985c86-f8c2-4ffb-9ed4-056f10e7bf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2985c86-f8c2-4ffb-9ed4-056f10e7bf99" xsi:nil="true"/>
    <SharedWithUsers xmlns="52985c86-f8c2-4ffb-9ed4-056f10e7bf99">
      <UserInfo>
        <DisplayName>Brad Crowley</DisplayName>
        <AccountId>70</AccountId>
        <AccountType/>
      </UserInfo>
      <UserInfo>
        <DisplayName>Joe Quad</DisplayName>
        <AccountId>1115</AccountId>
        <AccountType/>
      </UserInfo>
      <UserInfo>
        <DisplayName>Bhumika Mistry</DisplayName>
        <AccountId>236</AccountId>
        <AccountType/>
      </UserInfo>
      <UserInfo>
        <DisplayName>James Woods</DisplayName>
        <AccountId>60</AccountId>
        <AccountType/>
      </UserInfo>
      <UserInfo>
        <DisplayName>Josefin Bloom</DisplayName>
        <AccountId>1358</AccountId>
        <AccountType/>
      </UserInfo>
    </SharedWithUsers>
    <lcf76f155ced4ddcb4097134ff3c332f xmlns="5bf16529-ff4c-4533-adec-a35f4e4ba1d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599BEFA-0C46-4C39-BD4B-79608CADF9F3}">
  <ds:schemaRefs>
    <ds:schemaRef ds:uri="http://schemas.microsoft.com/sharepoint/v3/contenttype/forms"/>
  </ds:schemaRefs>
</ds:datastoreItem>
</file>

<file path=customXml/itemProps2.xml><?xml version="1.0" encoding="utf-8"?>
<ds:datastoreItem xmlns:ds="http://schemas.openxmlformats.org/officeDocument/2006/customXml" ds:itemID="{029AF8EB-4A03-4F30-BC1A-E9E41C9599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f16529-ff4c-4533-adec-a35f4e4ba1df"/>
    <ds:schemaRef ds:uri="52985c86-f8c2-4ffb-9ed4-056f10e7bf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5CDE22D-3DB6-4B56-80D6-BF45DB7B4C19}">
  <ds:schemaRefs>
    <ds:schemaRef ds:uri="http://schemas.microsoft.com/office/2006/metadata/properties"/>
    <ds:schemaRef ds:uri="http://purl.org/dc/terms/"/>
    <ds:schemaRef ds:uri="5bf16529-ff4c-4533-adec-a35f4e4ba1df"/>
    <ds:schemaRef ds:uri="http://purl.org/dc/elements/1.1/"/>
    <ds:schemaRef ds:uri="52985c86-f8c2-4ffb-9ed4-056f10e7bf99"/>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purl.org/dc/dcmitype/"/>
  </ds:schemaRefs>
</ds:datastoreItem>
</file>

<file path=docMetadata/LabelInfo.xml><?xml version="1.0" encoding="utf-8"?>
<clbl:labelList xmlns:clbl="http://schemas.microsoft.com/office/2020/mipLabelMetadata">
  <clbl:label id="{71e8007d-0344-4ee5-bb02-8f24bdb7d471}" enabled="1" method="Standard" siteId="{bb0f7126-b1c5-4f3e-8ca1-2b24f0f74620}"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Disclaimer</vt:lpstr>
      <vt:lpstr>Introduction</vt:lpstr>
      <vt:lpstr>Change Log</vt:lpstr>
      <vt:lpstr>Design Review Scorecard</vt:lpstr>
      <vt:lpstr>As Built Review Scorecard </vt:lpstr>
      <vt:lpstr>Submission Planner</vt:lpstr>
      <vt:lpstr>ss - As Built Scorecard</vt:lpstr>
      <vt:lpstr>'As Built Review Scorecard '!Print_Area</vt:lpstr>
      <vt:lpstr>'Design Review Scorecard'!Print_Area</vt:lpstr>
      <vt:lpstr>'ss - As Built Scorecard'!Print_Area</vt:lpstr>
      <vt:lpstr>'Submission Planner'!Print_Area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rmilagre</dc:creator>
  <cp:keywords/>
  <dc:description/>
  <cp:lastModifiedBy>Sophie Ciurlionis</cp:lastModifiedBy>
  <cp:revision/>
  <dcterms:created xsi:type="dcterms:W3CDTF">2013-06-25T01:42:25Z</dcterms:created>
  <dcterms:modified xsi:type="dcterms:W3CDTF">2026-08-30T21:24:55Z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0x0101001ADAF9C69B323F4180810D5ED78560CB</vt:lpwstr>
  </property>
  <property fmtid="{D5CDD505-2E9C-101B-9397-08002B2CF9AE}" pid="3" name="Originator">
    <vt:lpwstr>4;#Beca|a9bbb40e-5fed-4cc0-bdb5-0fb463d1eb14</vt:lpwstr>
  </property>
  <property fmtid="{D5CDD505-2E9C-101B-9397-08002B2CF9AE}" pid="4" name="_dlc_DocIdItemGuid">
    <vt:lpwstr>8316ed0a-9b21-4afb-ac50-891bc1faae1b</vt:lpwstr>
  </property>
  <property fmtid="{D5CDD505-2E9C-101B-9397-08002B2CF9AE}" pid="5" name="MediaServiceImageTags">
    <vt:lpwstr/>
  </property>
  <property fmtid="{D5CDD505-2E9C-101B-9397-08002B2CF9AE}" pid="6" name="DMSMarketSegmentV2">
    <vt:lpwstr>3;#Commercial Buildings|5e086400-0972-43ac-b1bc-812a4d7eeec3</vt:lpwstr>
  </property>
  <property fmtid="{D5CDD505-2E9C-101B-9397-08002B2CF9AE}" pid="7" name="OwningCompany">
    <vt:lpwstr>1;#Beca Limited|32943bc8-db00-41f3-beb5-5cb7e1307330</vt:lpwstr>
  </property>
  <property fmtid="{D5CDD505-2E9C-101B-9397-08002B2CF9AE}" pid="8" name="Client_x0020_Address">
    <vt:lpwstr/>
  </property>
  <property fmtid="{D5CDD505-2E9C-101B-9397-08002B2CF9AE}" pid="9" name="Document Status">
    <vt:lpwstr>5;#WIP|db997c6c-dc18-4bc4-99fc-2cbf3aaf93f9</vt:lpwstr>
  </property>
  <property fmtid="{D5CDD505-2E9C-101B-9397-08002B2CF9AE}" pid="10" name="DMSOwningSection">
    <vt:lpwstr>2;#529 - Central Building Services - BL|8886b3af-7a51-43e9-ba52-90f7e440c830</vt:lpwstr>
  </property>
  <property fmtid="{D5CDD505-2E9C-101B-9397-08002B2CF9AE}" pid="11" name="DMSProjectDocumentType">
    <vt:lpwstr/>
  </property>
  <property fmtid="{D5CDD505-2E9C-101B-9397-08002B2CF9AE}" pid="12" name="Revision Stamp">
    <vt:lpwstr/>
  </property>
  <property fmtid="{D5CDD505-2E9C-101B-9397-08002B2CF9AE}" pid="13" name="Discipline">
    <vt:lpwstr/>
  </property>
  <property fmtid="{D5CDD505-2E9C-101B-9397-08002B2CF9AE}" pid="14" name="kfc07b57045244179ffa5bae4291b42d">
    <vt:lpwstr/>
  </property>
  <property fmtid="{D5CDD505-2E9C-101B-9397-08002B2CF9AE}" pid="15" name="Client Address">
    <vt:lpwstr/>
  </property>
  <property fmtid="{D5CDD505-2E9C-101B-9397-08002B2CF9AE}" pid="16" name="Solution ID">
    <vt:lpwstr>{15727DE6-F92D-4E46-ACB4-0E2C58B31A18}</vt:lpwstr>
  </property>
</Properties>
</file>